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240" windowHeight="924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U17" i="1" l="1"/>
  <c r="V17" i="1" s="1"/>
  <c r="U16" i="1"/>
  <c r="V16" i="1" s="1"/>
  <c r="Q17" i="1"/>
  <c r="Q16" i="1"/>
  <c r="E26" i="1" l="1"/>
  <c r="D26" i="1"/>
  <c r="E25" i="1"/>
  <c r="D25" i="1"/>
  <c r="E24" i="1"/>
  <c r="D24" i="1"/>
  <c r="E23" i="1"/>
  <c r="D23" i="1"/>
  <c r="E22" i="1"/>
  <c r="D22" i="1"/>
  <c r="E21" i="1"/>
  <c r="D21" i="1"/>
  <c r="C1" i="1"/>
  <c r="B1" i="1"/>
  <c r="T26" i="1"/>
  <c r="AN27" i="1"/>
  <c r="X17" i="1" s="1"/>
  <c r="AN26" i="1"/>
  <c r="X16" i="1" s="1"/>
  <c r="U15" i="1"/>
  <c r="V15" i="1" s="1"/>
  <c r="U14" i="1"/>
  <c r="V14" i="1" s="1"/>
  <c r="AM27" i="1"/>
  <c r="AL27" i="1"/>
  <c r="AK27" i="1"/>
  <c r="AM26" i="1"/>
  <c r="AL26" i="1"/>
  <c r="AK26" i="1"/>
  <c r="AN25" i="1"/>
  <c r="X15" i="1" s="1"/>
  <c r="AM25" i="1"/>
  <c r="AL25" i="1"/>
  <c r="AK25" i="1"/>
  <c r="AM24" i="1"/>
  <c r="AL24" i="1"/>
  <c r="AK24" i="1"/>
  <c r="T25" i="1"/>
  <c r="Q15" i="1"/>
  <c r="T24" i="1" s="1"/>
  <c r="Q14" i="1"/>
  <c r="T23" i="1" s="1"/>
  <c r="Q13" i="1"/>
  <c r="T22" i="1" s="1"/>
  <c r="Q12" i="1"/>
  <c r="T21" i="1" s="1"/>
  <c r="C26" i="1"/>
  <c r="C25" i="1"/>
  <c r="C24" i="1"/>
  <c r="C23" i="1"/>
  <c r="C22" i="1"/>
  <c r="C21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G26" i="1"/>
  <c r="G25" i="1"/>
  <c r="G24" i="1"/>
  <c r="G23" i="1"/>
  <c r="G22" i="1"/>
  <c r="G21" i="1"/>
  <c r="F26" i="1"/>
  <c r="F25" i="1"/>
  <c r="F24" i="1"/>
  <c r="F23" i="1"/>
  <c r="F22" i="1"/>
  <c r="F21" i="1"/>
  <c r="L19" i="1"/>
  <c r="L26" i="1" s="1"/>
  <c r="K19" i="1"/>
  <c r="K24" i="1" s="1"/>
  <c r="J19" i="1"/>
  <c r="J24" i="1" s="1"/>
  <c r="AQ8" i="1"/>
  <c r="AQ15" i="1" s="1"/>
  <c r="AP8" i="1"/>
  <c r="AP15" i="1" s="1"/>
  <c r="AO8" i="1"/>
  <c r="AO15" i="1" s="1"/>
  <c r="AN8" i="1"/>
  <c r="AN15" i="1" s="1"/>
  <c r="AM8" i="1"/>
  <c r="AM15" i="1" s="1"/>
  <c r="AQ7" i="1"/>
  <c r="AQ14" i="1" s="1"/>
  <c r="AP7" i="1"/>
  <c r="AP14" i="1" s="1"/>
  <c r="AO7" i="1"/>
  <c r="AO14" i="1" s="1"/>
  <c r="AN7" i="1"/>
  <c r="AN14" i="1" s="1"/>
  <c r="AM7" i="1"/>
  <c r="AM14" i="1" s="1"/>
  <c r="AQ6" i="1"/>
  <c r="AQ13" i="1" s="1"/>
  <c r="AP6" i="1"/>
  <c r="AP13" i="1" s="1"/>
  <c r="AO6" i="1"/>
  <c r="AO13" i="1" s="1"/>
  <c r="AN6" i="1"/>
  <c r="AN13" i="1" s="1"/>
  <c r="AM6" i="1"/>
  <c r="AM13" i="1" s="1"/>
  <c r="AQ5" i="1"/>
  <c r="AQ12" i="1" s="1"/>
  <c r="AP5" i="1"/>
  <c r="AP12" i="1" s="1"/>
  <c r="AO5" i="1"/>
  <c r="AO12" i="1" s="1"/>
  <c r="AN5" i="1"/>
  <c r="AN12" i="1" s="1"/>
  <c r="AM5" i="1"/>
  <c r="AM12" i="1" s="1"/>
  <c r="AQ4" i="1"/>
  <c r="AQ11" i="1" s="1"/>
  <c r="AP4" i="1"/>
  <c r="AP11" i="1" s="1"/>
  <c r="AO4" i="1"/>
  <c r="AO11" i="1" s="1"/>
  <c r="AN4" i="1"/>
  <c r="AN11" i="1" s="1"/>
  <c r="AM4" i="1"/>
  <c r="AM11" i="1" s="1"/>
  <c r="AQ3" i="1"/>
  <c r="AQ10" i="1" s="1"/>
  <c r="AP3" i="1"/>
  <c r="AP10" i="1" s="1"/>
  <c r="AO3" i="1"/>
  <c r="AO10" i="1" s="1"/>
  <c r="AN3" i="1"/>
  <c r="AN10" i="1" s="1"/>
  <c r="AM3" i="1"/>
  <c r="AM10" i="1" s="1"/>
  <c r="AT8" i="1"/>
  <c r="AT15" i="1" s="1"/>
  <c r="AS8" i="1"/>
  <c r="AS15" i="1" s="1"/>
  <c r="AR8" i="1"/>
  <c r="AR15" i="1" s="1"/>
  <c r="AL8" i="1"/>
  <c r="AL15" i="1" s="1"/>
  <c r="AK8" i="1"/>
  <c r="AK15" i="1" s="1"/>
  <c r="AT7" i="1"/>
  <c r="AT14" i="1" s="1"/>
  <c r="AS7" i="1"/>
  <c r="AS14" i="1" s="1"/>
  <c r="AR7" i="1"/>
  <c r="AR14" i="1" s="1"/>
  <c r="AL7" i="1"/>
  <c r="AL14" i="1" s="1"/>
  <c r="AK7" i="1"/>
  <c r="AK14" i="1" s="1"/>
  <c r="AT6" i="1"/>
  <c r="AT13" i="1" s="1"/>
  <c r="AS6" i="1"/>
  <c r="AS13" i="1" s="1"/>
  <c r="AR6" i="1"/>
  <c r="AR13" i="1" s="1"/>
  <c r="AL6" i="1"/>
  <c r="AL13" i="1" s="1"/>
  <c r="AK6" i="1"/>
  <c r="AK13" i="1" s="1"/>
  <c r="AT5" i="1"/>
  <c r="AT12" i="1" s="1"/>
  <c r="AS5" i="1"/>
  <c r="AS12" i="1" s="1"/>
  <c r="AR5" i="1"/>
  <c r="AR12" i="1" s="1"/>
  <c r="AL5" i="1"/>
  <c r="AL12" i="1" s="1"/>
  <c r="AK5" i="1"/>
  <c r="AK12" i="1" s="1"/>
  <c r="AT4" i="1"/>
  <c r="AT11" i="1" s="1"/>
  <c r="AS4" i="1"/>
  <c r="AS11" i="1" s="1"/>
  <c r="AR4" i="1"/>
  <c r="AL4" i="1"/>
  <c r="AL11" i="1" s="1"/>
  <c r="AK4" i="1"/>
  <c r="AK11" i="1" s="1"/>
  <c r="AT3" i="1"/>
  <c r="AT10" i="1" s="1"/>
  <c r="AS3" i="1"/>
  <c r="AS10" i="1" s="1"/>
  <c r="AR3" i="1"/>
  <c r="AR10" i="1" s="1"/>
  <c r="AL3" i="1"/>
  <c r="AL10" i="1" s="1"/>
  <c r="AK3" i="1"/>
  <c r="AK10" i="1" s="1"/>
  <c r="AR11" i="1"/>
  <c r="P7" i="1"/>
  <c r="AM23" i="1"/>
  <c r="AL23" i="1"/>
  <c r="AK23" i="1"/>
  <c r="AM22" i="1"/>
  <c r="AL22" i="1"/>
  <c r="AK22" i="1"/>
  <c r="U13" i="1"/>
  <c r="V13" i="1" s="1"/>
  <c r="U12" i="1"/>
  <c r="V12" i="1" s="1"/>
  <c r="U8" i="1"/>
  <c r="I19" i="1"/>
  <c r="I25" i="1" s="1"/>
  <c r="H19" i="1"/>
  <c r="H26" i="1" s="1"/>
  <c r="U7" i="1"/>
  <c r="AM28" i="1" l="1"/>
  <c r="AM29" i="1" s="1"/>
  <c r="T18" i="1" s="1"/>
  <c r="AK28" i="1"/>
  <c r="AK29" i="1" s="1"/>
  <c r="R18" i="1" s="1"/>
  <c r="AL28" i="1"/>
  <c r="AL29" i="1" s="1"/>
  <c r="S18" i="1" s="1"/>
  <c r="D1" i="1"/>
  <c r="U19" i="1"/>
  <c r="U25" i="1" s="1"/>
  <c r="AN24" i="1"/>
  <c r="X14" i="1" s="1"/>
  <c r="H24" i="1"/>
  <c r="J22" i="1"/>
  <c r="J23" i="1"/>
  <c r="J26" i="1"/>
  <c r="H21" i="1"/>
  <c r="K21" i="1"/>
  <c r="H23" i="1"/>
  <c r="J21" i="1"/>
  <c r="J25" i="1"/>
  <c r="H25" i="1"/>
  <c r="H22" i="1"/>
  <c r="K25" i="1"/>
  <c r="L23" i="1"/>
  <c r="L24" i="1"/>
  <c r="L21" i="1"/>
  <c r="L25" i="1"/>
  <c r="L22" i="1"/>
  <c r="K22" i="1"/>
  <c r="K26" i="1"/>
  <c r="K23" i="1"/>
  <c r="I24" i="1"/>
  <c r="I21" i="1"/>
  <c r="I22" i="1"/>
  <c r="I26" i="1"/>
  <c r="I23" i="1"/>
  <c r="AS16" i="1"/>
  <c r="AS17" i="1" s="1"/>
  <c r="N18" i="1" s="1"/>
  <c r="AL16" i="1"/>
  <c r="AL17" i="1" s="1"/>
  <c r="G18" i="1" s="1"/>
  <c r="AR16" i="1"/>
  <c r="AR17" i="1" s="1"/>
  <c r="M18" i="1" s="1"/>
  <c r="AP16" i="1"/>
  <c r="AP17" i="1" s="1"/>
  <c r="K18" i="1" s="1"/>
  <c r="AT16" i="1"/>
  <c r="AT17" i="1" s="1"/>
  <c r="O18" i="1" s="1"/>
  <c r="AN23" i="1"/>
  <c r="X13" i="1" s="1"/>
  <c r="AO16" i="1"/>
  <c r="AO17" i="1" s="1"/>
  <c r="J18" i="1" s="1"/>
  <c r="AQ16" i="1"/>
  <c r="AQ17" i="1" s="1"/>
  <c r="L18" i="1" s="1"/>
  <c r="AN16" i="1"/>
  <c r="AN17" i="1" s="1"/>
  <c r="I18" i="1" s="1"/>
  <c r="AM16" i="1"/>
  <c r="AM17" i="1" s="1"/>
  <c r="H18" i="1" s="1"/>
  <c r="AK16" i="1"/>
  <c r="AK17" i="1" s="1"/>
  <c r="F18" i="1" s="1"/>
  <c r="AN22" i="1"/>
  <c r="X12" i="1" s="1"/>
  <c r="V7" i="1"/>
  <c r="AN28" i="1" l="1"/>
  <c r="AN29" i="1" s="1"/>
  <c r="U18" i="1" s="1"/>
  <c r="U22" i="1"/>
  <c r="P26" i="1"/>
  <c r="P24" i="1"/>
  <c r="E1" i="1"/>
  <c r="U26" i="1"/>
  <c r="U24" i="1"/>
  <c r="U23" i="1"/>
  <c r="P25" i="1"/>
  <c r="V25" i="1" s="1"/>
  <c r="A25" i="1" s="1"/>
  <c r="P23" i="1"/>
  <c r="P22" i="1"/>
  <c r="P21" i="1"/>
  <c r="U21" i="1"/>
  <c r="V24" i="1" l="1"/>
  <c r="A24" i="1" s="1"/>
  <c r="V26" i="1"/>
  <c r="A26" i="1" s="1"/>
  <c r="F1" i="1"/>
  <c r="V23" i="1"/>
  <c r="A23" i="1" s="1"/>
  <c r="V21" i="1"/>
  <c r="A21" i="1" s="1"/>
  <c r="V22" i="1"/>
  <c r="A22" i="1" s="1"/>
  <c r="G1" i="1" l="1"/>
  <c r="V33" i="1"/>
  <c r="V29" i="1"/>
  <c r="F29" i="1" s="1"/>
  <c r="V32" i="1"/>
  <c r="V28" i="1"/>
  <c r="V31" i="1"/>
  <c r="V30" i="1"/>
  <c r="C30" i="1" l="1"/>
  <c r="D30" i="1"/>
  <c r="E30" i="1"/>
  <c r="C31" i="1"/>
  <c r="D31" i="1"/>
  <c r="E31" i="1"/>
  <c r="C33" i="1"/>
  <c r="D33" i="1"/>
  <c r="E33" i="1"/>
  <c r="F30" i="1"/>
  <c r="C28" i="1"/>
  <c r="D28" i="1"/>
  <c r="E28" i="1"/>
  <c r="F28" i="1"/>
  <c r="C29" i="1"/>
  <c r="D29" i="1"/>
  <c r="E29" i="1"/>
  <c r="F31" i="1"/>
  <c r="C32" i="1"/>
  <c r="D32" i="1"/>
  <c r="E32" i="1"/>
  <c r="F32" i="1"/>
  <c r="F33" i="1"/>
  <c r="H1" i="1"/>
  <c r="G30" i="1"/>
  <c r="G31" i="1"/>
  <c r="G32" i="1"/>
  <c r="G28" i="1"/>
  <c r="G33" i="1"/>
  <c r="G29" i="1"/>
  <c r="I1" i="1" l="1"/>
  <c r="H31" i="1"/>
  <c r="H32" i="1"/>
  <c r="H28" i="1"/>
  <c r="H33" i="1"/>
  <c r="H29" i="1"/>
  <c r="H30" i="1"/>
  <c r="J1" i="1" l="1"/>
  <c r="I32" i="1"/>
  <c r="I28" i="1"/>
  <c r="I33" i="1"/>
  <c r="I29" i="1"/>
  <c r="I30" i="1"/>
  <c r="I31" i="1"/>
  <c r="K1" i="1" l="1"/>
  <c r="J33" i="1"/>
  <c r="J29" i="1"/>
  <c r="J30" i="1"/>
  <c r="J31" i="1"/>
  <c r="J32" i="1"/>
  <c r="J28" i="1"/>
  <c r="L1" i="1" l="1"/>
  <c r="K30" i="1"/>
  <c r="K31" i="1"/>
  <c r="K32" i="1"/>
  <c r="K28" i="1"/>
  <c r="K33" i="1"/>
  <c r="K29" i="1"/>
  <c r="M1" i="1" l="1"/>
  <c r="L31" i="1"/>
  <c r="L32" i="1"/>
  <c r="L28" i="1"/>
  <c r="L33" i="1"/>
  <c r="L29" i="1"/>
  <c r="L30" i="1"/>
  <c r="N1" i="1" l="1"/>
  <c r="M32" i="1"/>
  <c r="M28" i="1"/>
  <c r="M33" i="1"/>
  <c r="M29" i="1"/>
  <c r="M30" i="1"/>
  <c r="M31" i="1"/>
  <c r="O1" i="1" l="1"/>
  <c r="N33" i="1"/>
  <c r="N29" i="1"/>
  <c r="N30" i="1"/>
  <c r="N31" i="1"/>
  <c r="N32" i="1"/>
  <c r="N28" i="1"/>
  <c r="P1" i="1" l="1"/>
  <c r="O30" i="1"/>
  <c r="O31" i="1"/>
  <c r="O32" i="1"/>
  <c r="O28" i="1"/>
  <c r="O33" i="1"/>
  <c r="O29" i="1"/>
  <c r="Q1" i="1" l="1"/>
  <c r="R1" i="1" s="1"/>
  <c r="S1" i="1" s="1"/>
  <c r="T1" i="1" s="1"/>
  <c r="U1" i="1" s="1"/>
  <c r="P31" i="1"/>
  <c r="P32" i="1"/>
  <c r="P28" i="1"/>
  <c r="P33" i="1"/>
  <c r="P29" i="1"/>
  <c r="P30" i="1"/>
  <c r="V1" i="1" l="1"/>
  <c r="U32" i="1"/>
  <c r="X32" i="1" s="1"/>
  <c r="U28" i="1"/>
  <c r="X28" i="1" s="1"/>
  <c r="U33" i="1"/>
  <c r="X33" i="1" s="1"/>
  <c r="U29" i="1"/>
  <c r="X29" i="1" s="1"/>
  <c r="U30" i="1"/>
  <c r="X30" i="1" s="1"/>
  <c r="U31" i="1"/>
  <c r="X31" i="1" s="1"/>
</calcChain>
</file>

<file path=xl/sharedStrings.xml><?xml version="1.0" encoding="utf-8"?>
<sst xmlns="http://schemas.openxmlformats.org/spreadsheetml/2006/main" count="142" uniqueCount="70">
  <si>
    <t>A</t>
  </si>
  <si>
    <t>B</t>
  </si>
  <si>
    <t>C</t>
  </si>
  <si>
    <t>D</t>
  </si>
  <si>
    <t>RCT</t>
  </si>
  <si>
    <t>Incendio</t>
  </si>
  <si>
    <t>Infortuni</t>
  </si>
  <si>
    <t>TOTALE</t>
  </si>
  <si>
    <t>TOTALE PE</t>
  </si>
  <si>
    <t>TOTALE PT</t>
  </si>
  <si>
    <t>Art 4</t>
  </si>
  <si>
    <t>min ==&gt;</t>
  </si>
  <si>
    <t>MAX==&gt;</t>
  </si>
  <si>
    <t>Max punti ==&gt;</t>
  </si>
  <si>
    <t>MAX Ribasso==&gt;</t>
  </si>
  <si>
    <t>min==&gt;</t>
  </si>
  <si>
    <t>Check</t>
  </si>
  <si>
    <t>Rif==&gt;</t>
  </si>
  <si>
    <t>Elemento==&gt;</t>
  </si>
  <si>
    <t>Sezione==&gt;</t>
  </si>
  <si>
    <t>Check Offerta Economica</t>
  </si>
  <si>
    <t>Totale</t>
  </si>
  <si>
    <t>Descrizione==&gt;</t>
  </si>
  <si>
    <t>FIX==&gt;</t>
  </si>
  <si>
    <t>Eliminazione facoltà di recesso</t>
  </si>
  <si>
    <t>Art.2</t>
  </si>
  <si>
    <t>SI/NO</t>
  </si>
  <si>
    <t>Eliminazione massimale annuo 50 mln</t>
  </si>
  <si>
    <t>Art.3</t>
  </si>
  <si>
    <t>Incremento massimale Incendio immobili</t>
  </si>
  <si>
    <t>Incremento massimale Incendio Cose</t>
  </si>
  <si>
    <t>Art.3 B1</t>
  </si>
  <si>
    <t>Art.3 B2</t>
  </si>
  <si>
    <t>E</t>
  </si>
  <si>
    <t>F</t>
  </si>
  <si>
    <t>G</t>
  </si>
  <si>
    <t>H</t>
  </si>
  <si>
    <t>I</t>
  </si>
  <si>
    <t>L</t>
  </si>
  <si>
    <t>Incremento massimale Infortuni Morte/IPT</t>
  </si>
  <si>
    <t>Art.3 C1 C2</t>
  </si>
  <si>
    <t>Incremento quota contraente      PS Incendio</t>
  </si>
  <si>
    <t>Art.35 h</t>
  </si>
  <si>
    <t>Incremento quota contraente      PS Infortuni</t>
  </si>
  <si>
    <t>Art.50 h</t>
  </si>
  <si>
    <t>Accettazione Art. 16 bis        Priorità su altre assicurazioni RCT</t>
  </si>
  <si>
    <t>Accettazione Art. 23 bis        Priorità su altre assicurazioni Incendio</t>
  </si>
  <si>
    <t>Accettazione Art. 34 bis        Modalità anticipo indennizzi Incendio</t>
  </si>
  <si>
    <t>Check==&gt;</t>
  </si>
  <si>
    <t>3.</t>
  </si>
  <si>
    <t>4.</t>
  </si>
  <si>
    <t>5.</t>
  </si>
  <si>
    <t>6.</t>
  </si>
  <si>
    <t>Art.16 bis</t>
  </si>
  <si>
    <t>Art.23 bis</t>
  </si>
  <si>
    <t>Art.34 bis</t>
  </si>
  <si>
    <t>CHECKS</t>
  </si>
  <si>
    <t>GLOBAL</t>
  </si>
  <si>
    <t>CHECK</t>
  </si>
  <si>
    <t>ALLIANZ S.p.A.</t>
  </si>
  <si>
    <t>GENERALI ITALIA S.p.A.</t>
  </si>
  <si>
    <t>XL INSURANCE CO SE</t>
  </si>
  <si>
    <t>QBE INSURANCE EUROPE LTD</t>
  </si>
  <si>
    <t>UNIPOLSAI ASSICURAZIONI S.p.A.</t>
  </si>
  <si>
    <t>CATTOLICA SOCIETA' CATTOLICA DI ASSICURAZIONE</t>
  </si>
  <si>
    <t>1.</t>
  </si>
  <si>
    <t>2.</t>
  </si>
  <si>
    <t>NO</t>
  </si>
  <si>
    <t>SI</t>
  </si>
  <si>
    <t>ASSICURAZIONE IN FAVORE DEI CLIENTI FINALI CIVILI DEL GAS EX DELIBERA AEEGSI 223/2016/R/Gas                                      - CODICE CIG ANAC: 6740878C7D                                                                                                                                             MODELLO VALUTAZIONE OFFERTE                                                                                                                                                  SEDUTA DI GARA DEL 7 NOVEMBRE 2016 ORE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</si>
</sst>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[$€-1];[Red]\-#,##0\ [$€-1]"/>
    <numFmt numFmtId="165" formatCode="#,##0.00\ [$€-1];[Red]\-#,##0.00\ [$€-1]"/>
    <numFmt numFmtId="166" formatCode="0.0000"/>
    <numFmt numFmtId="167" formatCode="&quot;€&quot;\ #,##0"/>
    <numFmt numFmtId="168" formatCode="[$-F400]h:mm:ss\ AM/PM"/>
    <numFmt numFmtId="169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EEF7"/>
        <bgColor indexed="64"/>
      </patternFill>
    </fill>
    <fill>
      <patternFill patternType="solid">
        <fgColor rgb="FFEEF3F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15" fontId="0" fillId="0" borderId="0" xfId="0" applyNumberFormat="1"/>
    <xf numFmtId="20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0" xfId="0" applyNumberFormat="1"/>
    <xf numFmtId="9" fontId="0" fillId="0" borderId="0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/>
    <xf numFmtId="0" fontId="1" fillId="0" borderId="1" xfId="0" applyFont="1" applyBorder="1"/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3" fontId="0" fillId="0" borderId="2" xfId="0" applyNumberFormat="1" applyBorder="1"/>
    <xf numFmtId="0" fontId="0" fillId="0" borderId="3" xfId="0" applyBorder="1"/>
    <xf numFmtId="0" fontId="0" fillId="0" borderId="3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2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4" fontId="0" fillId="0" borderId="0" xfId="0" applyNumberFormat="1"/>
    <xf numFmtId="168" fontId="0" fillId="0" borderId="0" xfId="0" applyNumberFormat="1"/>
    <xf numFmtId="0" fontId="1" fillId="0" borderId="3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14" fontId="1" fillId="0" borderId="8" xfId="0" applyNumberFormat="1" applyFont="1" applyBorder="1"/>
    <xf numFmtId="2" fontId="1" fillId="0" borderId="1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0" fontId="1" fillId="0" borderId="9" xfId="0" applyNumberFormat="1" applyFont="1" applyBorder="1"/>
    <xf numFmtId="0" fontId="1" fillId="0" borderId="10" xfId="0" applyFont="1" applyBorder="1"/>
    <xf numFmtId="14" fontId="1" fillId="0" borderId="11" xfId="0" applyNumberFormat="1" applyFont="1" applyBorder="1"/>
    <xf numFmtId="20" fontId="1" fillId="0" borderId="12" xfId="0" applyNumberFormat="1" applyFont="1" applyBorder="1"/>
    <xf numFmtId="49" fontId="1" fillId="7" borderId="15" xfId="0" applyNumberFormat="1" applyFont="1" applyFill="1" applyBorder="1" applyAlignment="1">
      <alignment horizontal="center" vertical="center"/>
    </xf>
    <xf numFmtId="49" fontId="1" fillId="7" borderId="13" xfId="0" applyNumberFormat="1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>
      <alignment horizontal="center" vertical="center"/>
    </xf>
    <xf numFmtId="9" fontId="1" fillId="7" borderId="4" xfId="0" applyNumberFormat="1" applyFont="1" applyFill="1" applyBorder="1" applyAlignment="1">
      <alignment horizontal="center" vertical="center"/>
    </xf>
    <xf numFmtId="9" fontId="1" fillId="7" borderId="15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3" fontId="1" fillId="7" borderId="6" xfId="0" applyNumberFormat="1" applyFont="1" applyFill="1" applyBorder="1" applyAlignment="1">
      <alignment horizontal="center" vertical="center"/>
    </xf>
    <xf numFmtId="9" fontId="1" fillId="7" borderId="6" xfId="0" applyNumberFormat="1" applyFont="1" applyFill="1" applyBorder="1" applyAlignment="1">
      <alignment horizontal="center" vertical="center"/>
    </xf>
    <xf numFmtId="9" fontId="1" fillId="7" borderId="13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49" fontId="1" fillId="7" borderId="14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166" fontId="1" fillId="7" borderId="2" xfId="0" quotePrefix="1" applyNumberFormat="1" applyFont="1" applyFill="1" applyBorder="1" applyAlignment="1">
      <alignment horizontal="center" vertical="center"/>
    </xf>
    <xf numFmtId="166" fontId="1" fillId="7" borderId="3" xfId="0" applyNumberFormat="1" applyFont="1" applyFill="1" applyBorder="1" applyAlignment="1">
      <alignment horizontal="center" vertical="center"/>
    </xf>
    <xf numFmtId="166" fontId="1" fillId="7" borderId="5" xfId="0" quotePrefix="1" applyNumberFormat="1" applyFont="1" applyFill="1" applyBorder="1" applyAlignment="1">
      <alignment horizontal="center" vertical="center"/>
    </xf>
    <xf numFmtId="166" fontId="1" fillId="7" borderId="0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left" vertical="top"/>
    </xf>
    <xf numFmtId="14" fontId="5" fillId="2" borderId="11" xfId="0" applyNumberFormat="1" applyFont="1" applyFill="1" applyBorder="1"/>
    <xf numFmtId="169" fontId="5" fillId="2" borderId="12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1" xfId="0" applyFont="1" applyFill="1" applyBorder="1"/>
    <xf numFmtId="2" fontId="5" fillId="2" borderId="12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0" xfId="0" applyFont="1"/>
    <xf numFmtId="15" fontId="1" fillId="0" borderId="0" xfId="0" applyNumberFormat="1" applyFont="1"/>
    <xf numFmtId="20" fontId="1" fillId="0" borderId="0" xfId="0" applyNumberFormat="1" applyFont="1"/>
    <xf numFmtId="20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9" fontId="6" fillId="8" borderId="2" xfId="0" applyNumberFormat="1" applyFont="1" applyFill="1" applyBorder="1" applyAlignment="1">
      <alignment horizontal="center" vertical="center" wrapText="1"/>
    </xf>
    <xf numFmtId="49" fontId="6" fillId="8" borderId="3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7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EEF3F8"/>
      <color rgb="FF99FF99"/>
      <color rgb="FFE5EEF7"/>
      <color rgb="FFFCFDFE"/>
      <color rgb="FFCC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39"/>
  <sheetViews>
    <sheetView showGridLines="0" tabSelected="1" topLeftCell="B2" zoomScaleNormal="100" workbookViewId="0">
      <selection activeCell="B27" sqref="B27"/>
    </sheetView>
  </sheetViews>
  <sheetFormatPr defaultRowHeight="15" x14ac:dyDescent="0.25"/>
  <cols>
    <col min="1" max="1" width="0" hidden="1" customWidth="1"/>
    <col min="2" max="2" width="3" bestFit="1" customWidth="1"/>
    <col min="3" max="3" width="47.5703125" bestFit="1" customWidth="1"/>
    <col min="4" max="4" width="19.140625" bestFit="1" customWidth="1"/>
    <col min="5" max="5" width="14.7109375" bestFit="1" customWidth="1"/>
    <col min="6" max="6" width="11.5703125" bestFit="1" customWidth="1"/>
    <col min="7" max="9" width="11.140625" bestFit="1" customWidth="1"/>
    <col min="10" max="15" width="10.85546875" customWidth="1"/>
    <col min="16" max="16" width="13.42578125" bestFit="1" customWidth="1"/>
    <col min="17" max="17" width="51" customWidth="1"/>
    <col min="18" max="18" width="9.85546875" bestFit="1" customWidth="1"/>
    <col min="19" max="19" width="11.28515625" bestFit="1" customWidth="1"/>
    <col min="20" max="20" width="11.42578125" bestFit="1" customWidth="1"/>
    <col min="21" max="21" width="13.42578125" bestFit="1" customWidth="1"/>
    <col min="22" max="22" width="14" bestFit="1" customWidth="1"/>
    <col min="23" max="23" width="2.42578125" customWidth="1"/>
    <col min="24" max="24" width="9.7109375" bestFit="1" customWidth="1"/>
    <col min="36" max="36" width="10.7109375" hidden="1" customWidth="1"/>
    <col min="37" max="38" width="0" hidden="1" customWidth="1"/>
    <col min="39" max="43" width="9.5703125" hidden="1" customWidth="1"/>
    <col min="44" max="47" width="0" hidden="1" customWidth="1"/>
  </cols>
  <sheetData>
    <row r="1" spans="1:97" ht="15.75" hidden="1" thickBot="1" x14ac:dyDescent="0.3">
      <c r="A1">
        <v>1</v>
      </c>
      <c r="B1">
        <f>A1+1</f>
        <v>2</v>
      </c>
      <c r="C1">
        <f t="shared" ref="C1:V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AK1" t="s">
        <v>56</v>
      </c>
    </row>
    <row r="2" spans="1:97" ht="19.5" thickBot="1" x14ac:dyDescent="0.3">
      <c r="C2" s="145" t="s">
        <v>69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AK2" s="41" t="s">
        <v>0</v>
      </c>
      <c r="AL2" s="45" t="s">
        <v>1</v>
      </c>
      <c r="AM2" s="45" t="s">
        <v>2</v>
      </c>
      <c r="AN2" s="45" t="s">
        <v>3</v>
      </c>
      <c r="AO2" s="45" t="s">
        <v>33</v>
      </c>
      <c r="AP2" s="45" t="s">
        <v>34</v>
      </c>
      <c r="AQ2" s="45" t="s">
        <v>35</v>
      </c>
      <c r="AR2" s="45" t="s">
        <v>36</v>
      </c>
      <c r="AS2" s="45" t="s">
        <v>37</v>
      </c>
      <c r="AT2" s="45" t="s">
        <v>38</v>
      </c>
    </row>
    <row r="3" spans="1:97" ht="98.25" customHeight="1" thickBot="1" x14ac:dyDescent="0.3"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AJ3">
        <v>1</v>
      </c>
      <c r="AK3" s="51" t="str">
        <f t="shared" ref="AK3:AL8" si="1">RIGHT(F12,2)</f>
        <v>NO</v>
      </c>
      <c r="AL3" s="52" t="str">
        <f t="shared" si="1"/>
        <v>SI</v>
      </c>
      <c r="AM3" s="60">
        <f t="shared" ref="AM3:AQ8" si="2">H12+0</f>
        <v>375000</v>
      </c>
      <c r="AN3" s="60">
        <f t="shared" si="2"/>
        <v>150000</v>
      </c>
      <c r="AO3" s="60">
        <f t="shared" si="2"/>
        <v>300000</v>
      </c>
      <c r="AP3" s="63">
        <f t="shared" si="2"/>
        <v>0.8</v>
      </c>
      <c r="AQ3" s="63">
        <f t="shared" si="2"/>
        <v>1</v>
      </c>
      <c r="AR3" s="52" t="str">
        <f t="shared" ref="AR3:AT8" si="3">RIGHT(M12,2)</f>
        <v>SI</v>
      </c>
      <c r="AS3" s="52" t="str">
        <f t="shared" si="3"/>
        <v>SI</v>
      </c>
      <c r="AT3" s="54" t="str">
        <f t="shared" si="3"/>
        <v>SI</v>
      </c>
    </row>
    <row r="4" spans="1:97" ht="15.75" thickBot="1" x14ac:dyDescent="0.3">
      <c r="AJ4">
        <v>2</v>
      </c>
      <c r="AK4" s="55" t="str">
        <f t="shared" si="1"/>
        <v>NO</v>
      </c>
      <c r="AL4" s="56" t="str">
        <f t="shared" si="1"/>
        <v>SI</v>
      </c>
      <c r="AM4" s="61">
        <f t="shared" si="2"/>
        <v>1000000</v>
      </c>
      <c r="AN4" s="61">
        <f t="shared" si="2"/>
        <v>150000</v>
      </c>
      <c r="AO4" s="61">
        <f t="shared" si="2"/>
        <v>300000</v>
      </c>
      <c r="AP4" s="20">
        <f t="shared" si="2"/>
        <v>1</v>
      </c>
      <c r="AQ4" s="20">
        <f t="shared" si="2"/>
        <v>1</v>
      </c>
      <c r="AR4" s="56" t="str">
        <f t="shared" si="3"/>
        <v>SI</v>
      </c>
      <c r="AS4" s="56" t="str">
        <f t="shared" si="3"/>
        <v>SI</v>
      </c>
      <c r="AT4" s="9" t="str">
        <f t="shared" si="3"/>
        <v>SI</v>
      </c>
    </row>
    <row r="5" spans="1:97" ht="19.5" thickBot="1" x14ac:dyDescent="0.3">
      <c r="E5" s="96" t="s">
        <v>18</v>
      </c>
      <c r="F5" s="41" t="s">
        <v>0</v>
      </c>
      <c r="G5" s="45" t="s">
        <v>1</v>
      </c>
      <c r="H5" s="45" t="s">
        <v>2</v>
      </c>
      <c r="I5" s="45" t="s">
        <v>3</v>
      </c>
      <c r="J5" s="45" t="s">
        <v>33</v>
      </c>
      <c r="K5" s="45" t="s">
        <v>34</v>
      </c>
      <c r="L5" s="45" t="s">
        <v>35</v>
      </c>
      <c r="M5" s="45" t="s">
        <v>36</v>
      </c>
      <c r="N5" s="45" t="s">
        <v>37</v>
      </c>
      <c r="O5" s="45" t="s">
        <v>38</v>
      </c>
      <c r="P5" s="41" t="s">
        <v>9</v>
      </c>
      <c r="AJ5">
        <v>3</v>
      </c>
      <c r="AK5" s="55" t="str">
        <f t="shared" si="1"/>
        <v>SI</v>
      </c>
      <c r="AL5" s="56" t="str">
        <f t="shared" si="1"/>
        <v>SI</v>
      </c>
      <c r="AM5" s="61">
        <f t="shared" si="2"/>
        <v>420000</v>
      </c>
      <c r="AN5" s="61">
        <f t="shared" si="2"/>
        <v>150000</v>
      </c>
      <c r="AO5" s="61">
        <f t="shared" si="2"/>
        <v>252000</v>
      </c>
      <c r="AP5" s="20">
        <f t="shared" si="2"/>
        <v>1</v>
      </c>
      <c r="AQ5" s="20">
        <f t="shared" si="2"/>
        <v>1</v>
      </c>
      <c r="AR5" s="56" t="str">
        <f t="shared" si="3"/>
        <v>SI</v>
      </c>
      <c r="AS5" s="56" t="str">
        <f t="shared" si="3"/>
        <v>SI</v>
      </c>
      <c r="AT5" s="9" t="str">
        <f t="shared" si="3"/>
        <v>SI</v>
      </c>
    </row>
    <row r="6" spans="1:97" ht="68.25" thickBot="1" x14ac:dyDescent="0.3">
      <c r="E6" s="4" t="s">
        <v>22</v>
      </c>
      <c r="F6" s="43" t="s">
        <v>24</v>
      </c>
      <c r="G6" s="43" t="s">
        <v>27</v>
      </c>
      <c r="H6" s="43" t="s">
        <v>29</v>
      </c>
      <c r="I6" s="43" t="s">
        <v>30</v>
      </c>
      <c r="J6" s="43" t="s">
        <v>39</v>
      </c>
      <c r="K6" s="43" t="s">
        <v>41</v>
      </c>
      <c r="L6" s="43" t="s">
        <v>43</v>
      </c>
      <c r="M6" s="43" t="s">
        <v>45</v>
      </c>
      <c r="N6" s="43" t="s">
        <v>46</v>
      </c>
      <c r="O6" s="43" t="s">
        <v>47</v>
      </c>
      <c r="P6" s="41"/>
      <c r="Q6" s="35" t="s">
        <v>19</v>
      </c>
      <c r="R6" s="39" t="s">
        <v>4</v>
      </c>
      <c r="S6" s="40" t="s">
        <v>5</v>
      </c>
      <c r="T6" s="40" t="s">
        <v>6</v>
      </c>
      <c r="U6" s="41" t="s">
        <v>8</v>
      </c>
      <c r="V6" s="42" t="s">
        <v>7</v>
      </c>
      <c r="AJ6">
        <v>4</v>
      </c>
      <c r="AK6" s="55" t="str">
        <f t="shared" si="1"/>
        <v>NO</v>
      </c>
      <c r="AL6" s="56" t="str">
        <f t="shared" si="1"/>
        <v>SI</v>
      </c>
      <c r="AM6" s="61">
        <f t="shared" si="2"/>
        <v>260000</v>
      </c>
      <c r="AN6" s="61">
        <f t="shared" si="2"/>
        <v>150000</v>
      </c>
      <c r="AO6" s="61">
        <f t="shared" si="2"/>
        <v>260000</v>
      </c>
      <c r="AP6" s="20">
        <f t="shared" si="2"/>
        <v>0.75</v>
      </c>
      <c r="AQ6" s="20">
        <f t="shared" si="2"/>
        <v>0.75</v>
      </c>
      <c r="AR6" s="56" t="str">
        <f t="shared" si="3"/>
        <v>SI</v>
      </c>
      <c r="AS6" s="56" t="str">
        <f t="shared" si="3"/>
        <v>SI</v>
      </c>
      <c r="AT6" s="9" t="str">
        <f t="shared" si="3"/>
        <v>NO</v>
      </c>
      <c r="CI6" s="3"/>
      <c r="CJ6" s="3"/>
      <c r="CK6" s="3"/>
      <c r="CL6" s="3"/>
      <c r="CM6" s="3"/>
      <c r="CO6" s="3"/>
      <c r="CP6" s="3"/>
      <c r="CQ6" s="3"/>
      <c r="CR6" s="3"/>
      <c r="CS6" s="3"/>
    </row>
    <row r="7" spans="1:97" ht="19.5" thickBot="1" x14ac:dyDescent="0.35">
      <c r="E7" s="96" t="s">
        <v>13</v>
      </c>
      <c r="F7" s="93">
        <v>5</v>
      </c>
      <c r="G7" s="94">
        <v>3</v>
      </c>
      <c r="H7" s="94">
        <v>10</v>
      </c>
      <c r="I7" s="94">
        <v>2</v>
      </c>
      <c r="J7" s="94">
        <v>10</v>
      </c>
      <c r="K7" s="94">
        <v>10</v>
      </c>
      <c r="L7" s="94">
        <v>10</v>
      </c>
      <c r="M7" s="94">
        <v>10</v>
      </c>
      <c r="N7" s="94">
        <v>10</v>
      </c>
      <c r="O7" s="94">
        <v>10</v>
      </c>
      <c r="P7" s="95">
        <f>SUM(F7:O7)</f>
        <v>80</v>
      </c>
      <c r="Q7" s="97" t="s">
        <v>13</v>
      </c>
      <c r="R7" s="139">
        <v>20</v>
      </c>
      <c r="S7" s="140"/>
      <c r="T7" s="140"/>
      <c r="U7" s="95">
        <f>R7</f>
        <v>20</v>
      </c>
      <c r="V7" s="131">
        <f>U7+P7</f>
        <v>100</v>
      </c>
      <c r="AJ7">
        <v>5</v>
      </c>
      <c r="AK7" s="55" t="str">
        <f t="shared" si="1"/>
        <v>NO</v>
      </c>
      <c r="AL7" s="56" t="str">
        <f t="shared" si="1"/>
        <v>SI</v>
      </c>
      <c r="AM7" s="61">
        <f t="shared" si="2"/>
        <v>355000</v>
      </c>
      <c r="AN7" s="61">
        <f t="shared" si="2"/>
        <v>150000</v>
      </c>
      <c r="AO7" s="61">
        <f t="shared" si="2"/>
        <v>300000</v>
      </c>
      <c r="AP7" s="20">
        <f t="shared" si="2"/>
        <v>1</v>
      </c>
      <c r="AQ7" s="20">
        <f t="shared" si="2"/>
        <v>1</v>
      </c>
      <c r="AR7" s="56" t="str">
        <f t="shared" si="3"/>
        <v>SI</v>
      </c>
      <c r="AS7" s="56" t="str">
        <f t="shared" si="3"/>
        <v>SI</v>
      </c>
      <c r="AT7" s="9" t="str">
        <f t="shared" si="3"/>
        <v>SI</v>
      </c>
      <c r="CH7" s="5"/>
      <c r="CM7" s="4"/>
      <c r="CN7" s="5"/>
      <c r="CO7" s="141"/>
      <c r="CP7" s="141"/>
      <c r="CQ7" s="141"/>
      <c r="CR7" s="4"/>
      <c r="CS7" s="4"/>
    </row>
    <row r="8" spans="1:97" ht="15.75" thickBot="1" x14ac:dyDescent="0.3">
      <c r="E8" s="5" t="s">
        <v>11</v>
      </c>
      <c r="F8" s="44"/>
      <c r="G8" s="15"/>
      <c r="H8" s="47">
        <v>210000</v>
      </c>
      <c r="I8" s="47">
        <v>100000</v>
      </c>
      <c r="J8" s="47">
        <v>220000</v>
      </c>
      <c r="K8" s="46">
        <v>0.75</v>
      </c>
      <c r="L8" s="46">
        <v>0.75</v>
      </c>
      <c r="M8" s="46"/>
      <c r="N8" s="46"/>
      <c r="O8" s="46"/>
      <c r="P8" s="27"/>
      <c r="Q8" s="5" t="s">
        <v>12</v>
      </c>
      <c r="R8" s="129">
        <v>0.33</v>
      </c>
      <c r="S8" s="130">
        <v>0.15</v>
      </c>
      <c r="T8" s="130">
        <v>0.22</v>
      </c>
      <c r="U8" s="32">
        <f>T8+S8+R8</f>
        <v>0.7</v>
      </c>
      <c r="V8" s="15"/>
      <c r="AJ8">
        <v>6</v>
      </c>
      <c r="AK8" s="57" t="str">
        <f t="shared" si="1"/>
        <v>SI</v>
      </c>
      <c r="AL8" s="58" t="str">
        <f t="shared" si="1"/>
        <v>SI</v>
      </c>
      <c r="AM8" s="62">
        <f t="shared" si="2"/>
        <v>501000</v>
      </c>
      <c r="AN8" s="62">
        <f t="shared" si="2"/>
        <v>150000</v>
      </c>
      <c r="AO8" s="62">
        <f t="shared" si="2"/>
        <v>301000</v>
      </c>
      <c r="AP8" s="22">
        <f t="shared" si="2"/>
        <v>1</v>
      </c>
      <c r="AQ8" s="22">
        <f t="shared" si="2"/>
        <v>1</v>
      </c>
      <c r="AR8" s="58" t="str">
        <f t="shared" si="3"/>
        <v>SI</v>
      </c>
      <c r="AS8" s="58" t="str">
        <f t="shared" si="3"/>
        <v>SI</v>
      </c>
      <c r="AT8" s="59" t="str">
        <f t="shared" si="3"/>
        <v>SI</v>
      </c>
      <c r="CH8" s="5"/>
      <c r="CI8" s="6"/>
      <c r="CJ8" s="4"/>
      <c r="CK8" s="7"/>
      <c r="CL8" s="7"/>
      <c r="CM8" s="4"/>
      <c r="CN8" s="5"/>
      <c r="CO8" s="8"/>
      <c r="CP8" s="8"/>
      <c r="CQ8" s="8"/>
      <c r="CR8" s="4"/>
      <c r="CS8" s="4"/>
    </row>
    <row r="9" spans="1:97" ht="19.5" thickBot="1" x14ac:dyDescent="0.3">
      <c r="E9" s="5" t="s">
        <v>12</v>
      </c>
      <c r="F9" s="44"/>
      <c r="G9" s="15"/>
      <c r="H9" s="46"/>
      <c r="I9" s="47">
        <v>150000</v>
      </c>
      <c r="J9" s="46"/>
      <c r="K9" s="46">
        <v>1</v>
      </c>
      <c r="L9" s="46">
        <v>1</v>
      </c>
      <c r="M9" s="46"/>
      <c r="N9" s="46"/>
      <c r="O9" s="46"/>
      <c r="P9" s="27"/>
      <c r="Q9" s="5" t="s">
        <v>17</v>
      </c>
      <c r="R9" s="13" t="s">
        <v>10</v>
      </c>
      <c r="S9" s="14" t="s">
        <v>10</v>
      </c>
      <c r="T9" s="14" t="s">
        <v>10</v>
      </c>
      <c r="U9" s="27" t="s">
        <v>10</v>
      </c>
      <c r="V9" s="15"/>
      <c r="AK9" s="41" t="s">
        <v>0</v>
      </c>
      <c r="AL9" s="45" t="s">
        <v>1</v>
      </c>
      <c r="AM9" s="45" t="s">
        <v>2</v>
      </c>
      <c r="AN9" s="45" t="s">
        <v>3</v>
      </c>
      <c r="AO9" s="45" t="s">
        <v>33</v>
      </c>
      <c r="AP9" s="45" t="s">
        <v>34</v>
      </c>
      <c r="AQ9" s="45" t="s">
        <v>35</v>
      </c>
      <c r="AR9" s="45" t="s">
        <v>36</v>
      </c>
      <c r="AS9" s="45" t="s">
        <v>37</v>
      </c>
      <c r="AT9" s="45" t="s">
        <v>38</v>
      </c>
      <c r="CH9" s="5"/>
      <c r="CI9" s="6"/>
      <c r="CJ9" s="4"/>
      <c r="CK9" s="7"/>
      <c r="CL9" s="7"/>
      <c r="CM9" s="4"/>
      <c r="CN9" s="5"/>
      <c r="CO9" s="8"/>
      <c r="CP9" s="8"/>
      <c r="CQ9" s="8"/>
      <c r="CR9" s="4"/>
      <c r="CS9" s="4"/>
    </row>
    <row r="10" spans="1:97" ht="15.75" thickBot="1" x14ac:dyDescent="0.3">
      <c r="E10" s="5" t="s">
        <v>23</v>
      </c>
      <c r="F10" s="44" t="s">
        <v>26</v>
      </c>
      <c r="G10" s="44" t="s">
        <v>26</v>
      </c>
      <c r="H10" s="46"/>
      <c r="I10" s="46"/>
      <c r="J10" s="46"/>
      <c r="K10" s="46"/>
      <c r="L10" s="46"/>
      <c r="M10" s="46" t="s">
        <v>26</v>
      </c>
      <c r="N10" s="46" t="s">
        <v>26</v>
      </c>
      <c r="O10" s="46" t="s">
        <v>26</v>
      </c>
      <c r="P10" s="27"/>
      <c r="Q10" s="5" t="s">
        <v>14</v>
      </c>
      <c r="R10" s="21">
        <v>0.15</v>
      </c>
      <c r="S10" s="22">
        <v>0.15</v>
      </c>
      <c r="T10" s="22">
        <v>0.15</v>
      </c>
      <c r="U10" s="34">
        <v>0.15</v>
      </c>
      <c r="V10" s="18"/>
      <c r="AJ10">
        <v>1</v>
      </c>
      <c r="AK10" s="51" t="str">
        <f>IF(AK3&lt;&gt;"SI",IF(AK3&lt;&gt;"NO",IF(AK3&lt;&gt;"","ERR","OK"),"OK"),"OK")</f>
        <v>OK</v>
      </c>
      <c r="AL10" s="52" t="str">
        <f t="shared" ref="AL10:AT10" si="4">IF(AL3&lt;&gt;"SI",IF(AL3&lt;&gt;"NO",IF(AL3&lt;&gt;"","ERR","OK"),"OK"),"OK")</f>
        <v>OK</v>
      </c>
      <c r="AM10" s="14" t="str">
        <f>IF(AM3=0,"OK",IF(AM3&lt;210000,"ERR","OK"))</f>
        <v>OK</v>
      </c>
      <c r="AN10" s="53" t="str">
        <f>IF(AN3=0,"OK",IF(AN3&lt;100000,"ERR",IF(AN3&gt;150000,"ERR","OK")))</f>
        <v>OK</v>
      </c>
      <c r="AO10" s="53" t="str">
        <f>IF(AO3=0,"OK",IF(AO3&lt;220000,"ERR","OK"))</f>
        <v>OK</v>
      </c>
      <c r="AP10" s="11" t="str">
        <f>IF(AP3=0,"OK",IF(AP3&lt;75%,"ERR",IF(AP3&gt;100%,"ERR","OK")))</f>
        <v>OK</v>
      </c>
      <c r="AQ10" s="11" t="str">
        <f>IF(AQ3=0,"OK",IF(AQ3&lt;75%,"ERR",IF(AQ3&gt;100%,"ERR","OK")))</f>
        <v>OK</v>
      </c>
      <c r="AR10" s="52" t="str">
        <f t="shared" si="4"/>
        <v>OK</v>
      </c>
      <c r="AS10" s="52" t="str">
        <f t="shared" si="4"/>
        <v>OK</v>
      </c>
      <c r="AT10" s="54" t="str">
        <f t="shared" si="4"/>
        <v>OK</v>
      </c>
      <c r="CH10" s="5"/>
      <c r="CI10" s="6"/>
      <c r="CJ10" s="4"/>
      <c r="CK10" s="7"/>
      <c r="CL10" s="7"/>
      <c r="CM10" s="4"/>
      <c r="CN10" s="5"/>
      <c r="CO10" s="8"/>
      <c r="CP10" s="8"/>
      <c r="CQ10" s="8"/>
      <c r="CR10" s="4"/>
      <c r="CS10" s="4"/>
    </row>
    <row r="11" spans="1:97" ht="15.75" thickBot="1" x14ac:dyDescent="0.3">
      <c r="E11" s="5" t="s">
        <v>17</v>
      </c>
      <c r="F11" s="28" t="s">
        <v>25</v>
      </c>
      <c r="G11" s="18" t="s">
        <v>28</v>
      </c>
      <c r="H11" s="18" t="s">
        <v>31</v>
      </c>
      <c r="I11" s="18" t="s">
        <v>32</v>
      </c>
      <c r="J11" s="18" t="s">
        <v>40</v>
      </c>
      <c r="K11" s="18" t="s">
        <v>42</v>
      </c>
      <c r="L11" s="18" t="s">
        <v>44</v>
      </c>
      <c r="M11" s="18" t="s">
        <v>53</v>
      </c>
      <c r="N11" s="18" t="s">
        <v>54</v>
      </c>
      <c r="O11" s="18" t="s">
        <v>55</v>
      </c>
      <c r="P11" s="28"/>
      <c r="X11" s="118" t="s">
        <v>16</v>
      </c>
      <c r="AJ11">
        <v>2</v>
      </c>
      <c r="AK11" s="55" t="str">
        <f t="shared" ref="AK11:AT11" si="5">IF(AK4&lt;&gt;"SI",IF(AK4&lt;&gt;"NO",IF(AK4&lt;&gt;"","ERR","OK"),"OK"),"OK")</f>
        <v>OK</v>
      </c>
      <c r="AL11" s="56" t="str">
        <f t="shared" si="5"/>
        <v>OK</v>
      </c>
      <c r="AM11" s="14" t="str">
        <f t="shared" ref="AM11:AM15" si="6">IF(AM4=0,"OK",IF(AM4&lt;210000,"ERR","OK"))</f>
        <v>OK</v>
      </c>
      <c r="AN11" s="14" t="str">
        <f t="shared" ref="AN11:AN15" si="7">IF(AN4=0,"OK",IF(AN4&lt;100000,"ERR",IF(AN4&gt;150000,"ERR","OK")))</f>
        <v>OK</v>
      </c>
      <c r="AO11" s="14" t="str">
        <f t="shared" ref="AO11:AO15" si="8">IF(AO4=0,"OK",IF(AO4&lt;220000,"ERR","OK"))</f>
        <v>OK</v>
      </c>
      <c r="AP11" s="14" t="str">
        <f t="shared" ref="AP11:AQ11" si="9">IF(AP4=0,"OK",IF(AP4&lt;75%,"ERR",IF(AP4&gt;100%,"ERR","OK")))</f>
        <v>OK</v>
      </c>
      <c r="AQ11" s="14" t="str">
        <f t="shared" si="9"/>
        <v>OK</v>
      </c>
      <c r="AR11" s="56" t="str">
        <f t="shared" si="5"/>
        <v>OK</v>
      </c>
      <c r="AS11" s="56" t="str">
        <f t="shared" si="5"/>
        <v>OK</v>
      </c>
      <c r="AT11" s="9" t="str">
        <f t="shared" si="5"/>
        <v>OK</v>
      </c>
    </row>
    <row r="12" spans="1:97" x14ac:dyDescent="0.25">
      <c r="A12" s="96"/>
      <c r="B12" s="96" t="s">
        <v>65</v>
      </c>
      <c r="C12" s="135" t="s">
        <v>59</v>
      </c>
      <c r="D12" s="136">
        <v>42678</v>
      </c>
      <c r="E12" s="137">
        <v>0.43333333333333335</v>
      </c>
      <c r="F12" s="102" t="s">
        <v>67</v>
      </c>
      <c r="G12" s="103" t="s">
        <v>68</v>
      </c>
      <c r="H12" s="104">
        <v>375000</v>
      </c>
      <c r="I12" s="104">
        <v>150000</v>
      </c>
      <c r="J12" s="104">
        <v>300000</v>
      </c>
      <c r="K12" s="105">
        <v>0.8</v>
      </c>
      <c r="L12" s="106">
        <v>1</v>
      </c>
      <c r="M12" s="103" t="s">
        <v>68</v>
      </c>
      <c r="N12" s="107" t="s">
        <v>68</v>
      </c>
      <c r="O12" s="107" t="s">
        <v>68</v>
      </c>
      <c r="P12" s="48"/>
      <c r="Q12" s="5" t="str">
        <f>C12</f>
        <v>ALLIANZ S.p.A.</v>
      </c>
      <c r="R12" s="114">
        <v>0.28050000000000003</v>
      </c>
      <c r="S12" s="115">
        <v>0.1275</v>
      </c>
      <c r="T12" s="115">
        <v>0.187</v>
      </c>
      <c r="U12" s="74">
        <f>T12+S12+R12</f>
        <v>0.59499999999999997</v>
      </c>
      <c r="V12" s="132">
        <f>(U12-U$8)/U$8</f>
        <v>-0.15</v>
      </c>
      <c r="X12" s="119" t="str">
        <f>AN22</f>
        <v>OK</v>
      </c>
      <c r="AJ12">
        <v>3</v>
      </c>
      <c r="AK12" s="55" t="str">
        <f t="shared" ref="AK12:AT12" si="10">IF(AK5&lt;&gt;"SI",IF(AK5&lt;&gt;"NO",IF(AK5&lt;&gt;"","ERR","OK"),"OK"),"OK")</f>
        <v>OK</v>
      </c>
      <c r="AL12" s="56" t="str">
        <f t="shared" si="10"/>
        <v>OK</v>
      </c>
      <c r="AM12" s="14" t="str">
        <f t="shared" si="6"/>
        <v>OK</v>
      </c>
      <c r="AN12" s="14" t="str">
        <f t="shared" si="7"/>
        <v>OK</v>
      </c>
      <c r="AO12" s="14" t="str">
        <f t="shared" si="8"/>
        <v>OK</v>
      </c>
      <c r="AP12" s="14" t="str">
        <f t="shared" ref="AP12:AQ12" si="11">IF(AP5=0,"OK",IF(AP5&lt;75%,"ERR",IF(AP5&gt;100%,"ERR","OK")))</f>
        <v>OK</v>
      </c>
      <c r="AQ12" s="14" t="str">
        <f t="shared" si="11"/>
        <v>OK</v>
      </c>
      <c r="AR12" s="56" t="str">
        <f t="shared" si="10"/>
        <v>OK</v>
      </c>
      <c r="AS12" s="56" t="str">
        <f t="shared" si="10"/>
        <v>OK</v>
      </c>
      <c r="AT12" s="9" t="str">
        <f t="shared" si="10"/>
        <v>OK</v>
      </c>
      <c r="CI12" s="4"/>
      <c r="CJ12" s="4"/>
      <c r="CK12" s="4"/>
      <c r="CL12" s="4"/>
      <c r="CM12" s="4"/>
      <c r="CO12" s="4"/>
      <c r="CP12" s="4"/>
      <c r="CQ12" s="4"/>
      <c r="CR12" s="4"/>
      <c r="CS12" s="4"/>
    </row>
    <row r="13" spans="1:97" x14ac:dyDescent="0.25">
      <c r="A13" s="96"/>
      <c r="B13" s="96" t="s">
        <v>66</v>
      </c>
      <c r="C13" s="135" t="s">
        <v>64</v>
      </c>
      <c r="D13" s="136">
        <v>42681</v>
      </c>
      <c r="E13" s="137">
        <v>0.4236111111111111</v>
      </c>
      <c r="F13" s="103" t="s">
        <v>67</v>
      </c>
      <c r="G13" s="103" t="s">
        <v>68</v>
      </c>
      <c r="H13" s="108">
        <v>1000000</v>
      </c>
      <c r="I13" s="108">
        <v>150000</v>
      </c>
      <c r="J13" s="108">
        <v>300000</v>
      </c>
      <c r="K13" s="109">
        <v>1</v>
      </c>
      <c r="L13" s="110">
        <v>1</v>
      </c>
      <c r="M13" s="103" t="s">
        <v>68</v>
      </c>
      <c r="N13" s="111" t="s">
        <v>68</v>
      </c>
      <c r="O13" s="111" t="s">
        <v>68</v>
      </c>
      <c r="P13" s="29"/>
      <c r="Q13" s="5" t="str">
        <f t="shared" ref="Q13:Q17" si="12">C13</f>
        <v>CATTOLICA SOCIETA' CATTOLICA DI ASSICURAZIONE</v>
      </c>
      <c r="R13" s="116">
        <v>0.28050000000000003</v>
      </c>
      <c r="S13" s="117">
        <v>0.1275</v>
      </c>
      <c r="T13" s="117">
        <v>0.187</v>
      </c>
      <c r="U13" s="75">
        <f t="shared" ref="U13:U17" si="13">T13+S13+R13</f>
        <v>0.59499999999999997</v>
      </c>
      <c r="V13" s="133">
        <f t="shared" ref="V13:V17" si="14">(U13-U$8)/U$8</f>
        <v>-0.15</v>
      </c>
      <c r="X13" s="119" t="str">
        <f t="shared" ref="X13:X17" si="15">AN23</f>
        <v>OK</v>
      </c>
      <c r="AB13" s="73"/>
      <c r="AC13" s="73"/>
      <c r="AD13" s="73"/>
      <c r="AE13" s="73"/>
      <c r="AF13" s="73"/>
      <c r="AG13" s="73"/>
      <c r="AJ13">
        <v>4</v>
      </c>
      <c r="AK13" s="55" t="str">
        <f t="shared" ref="AK13:AT13" si="16">IF(AK6&lt;&gt;"SI",IF(AK6&lt;&gt;"NO",IF(AK6&lt;&gt;"","ERR","OK"),"OK"),"OK")</f>
        <v>OK</v>
      </c>
      <c r="AL13" s="56" t="str">
        <f t="shared" si="16"/>
        <v>OK</v>
      </c>
      <c r="AM13" s="14" t="str">
        <f t="shared" si="6"/>
        <v>OK</v>
      </c>
      <c r="AN13" s="14" t="str">
        <f t="shared" si="7"/>
        <v>OK</v>
      </c>
      <c r="AO13" s="14" t="str">
        <f t="shared" si="8"/>
        <v>OK</v>
      </c>
      <c r="AP13" s="14" t="str">
        <f t="shared" ref="AP13:AQ13" si="17">IF(AP6=0,"OK",IF(AP6&lt;75%,"ERR",IF(AP6&gt;100%,"ERR","OK")))</f>
        <v>OK</v>
      </c>
      <c r="AQ13" s="14" t="str">
        <f t="shared" si="17"/>
        <v>OK</v>
      </c>
      <c r="AR13" s="56" t="str">
        <f t="shared" si="16"/>
        <v>OK</v>
      </c>
      <c r="AS13" s="56" t="str">
        <f t="shared" si="16"/>
        <v>OK</v>
      </c>
      <c r="AT13" s="9" t="str">
        <f t="shared" si="16"/>
        <v>OK</v>
      </c>
      <c r="CI13" s="4"/>
      <c r="CJ13" s="4"/>
      <c r="CK13" s="4"/>
      <c r="CL13" s="4"/>
      <c r="CM13" s="4"/>
      <c r="CN13" s="5"/>
      <c r="CO13" s="7"/>
      <c r="CP13" s="7"/>
      <c r="CQ13" s="7"/>
      <c r="CR13" s="7"/>
      <c r="CS13" s="4"/>
    </row>
    <row r="14" spans="1:97" x14ac:dyDescent="0.25">
      <c r="A14" s="96"/>
      <c r="B14" s="96" t="s">
        <v>49</v>
      </c>
      <c r="C14" s="135" t="s">
        <v>60</v>
      </c>
      <c r="D14" s="136">
        <v>42681</v>
      </c>
      <c r="E14" s="137">
        <v>0.42708333333333331</v>
      </c>
      <c r="F14" s="103" t="s">
        <v>68</v>
      </c>
      <c r="G14" s="103" t="s">
        <v>68</v>
      </c>
      <c r="H14" s="108">
        <v>420000</v>
      </c>
      <c r="I14" s="108">
        <v>150000</v>
      </c>
      <c r="J14" s="108">
        <v>252000</v>
      </c>
      <c r="K14" s="109">
        <v>1</v>
      </c>
      <c r="L14" s="110">
        <v>1</v>
      </c>
      <c r="M14" s="103" t="s">
        <v>68</v>
      </c>
      <c r="N14" s="111" t="s">
        <v>68</v>
      </c>
      <c r="O14" s="111" t="s">
        <v>68</v>
      </c>
      <c r="P14" s="29"/>
      <c r="Q14" s="5" t="str">
        <f t="shared" si="12"/>
        <v>GENERALI ITALIA S.p.A.</v>
      </c>
      <c r="R14" s="116">
        <v>0.28050000000000003</v>
      </c>
      <c r="S14" s="117">
        <v>0.1275</v>
      </c>
      <c r="T14" s="117">
        <v>0.187</v>
      </c>
      <c r="U14" s="75">
        <f t="shared" si="13"/>
        <v>0.59499999999999997</v>
      </c>
      <c r="V14" s="133">
        <f t="shared" si="14"/>
        <v>-0.15</v>
      </c>
      <c r="X14" s="119" t="str">
        <f t="shared" si="15"/>
        <v>OK</v>
      </c>
      <c r="AB14" s="14"/>
      <c r="AC14" s="14"/>
      <c r="AD14" s="14"/>
      <c r="AE14" s="14"/>
      <c r="AF14" s="14"/>
      <c r="AG14" s="14"/>
      <c r="AJ14">
        <v>5</v>
      </c>
      <c r="AK14" s="55" t="str">
        <f t="shared" ref="AK14:AT14" si="18">IF(AK7&lt;&gt;"SI",IF(AK7&lt;&gt;"NO",IF(AK7&lt;&gt;"","ERR","OK"),"OK"),"OK")</f>
        <v>OK</v>
      </c>
      <c r="AL14" s="56" t="str">
        <f t="shared" si="18"/>
        <v>OK</v>
      </c>
      <c r="AM14" s="14" t="str">
        <f t="shared" si="6"/>
        <v>OK</v>
      </c>
      <c r="AN14" s="14" t="str">
        <f t="shared" si="7"/>
        <v>OK</v>
      </c>
      <c r="AO14" s="14" t="str">
        <f t="shared" si="8"/>
        <v>OK</v>
      </c>
      <c r="AP14" s="14" t="str">
        <f t="shared" ref="AP14:AQ14" si="19">IF(AP7=0,"OK",IF(AP7&lt;75%,"ERR",IF(AP7&gt;100%,"ERR","OK")))</f>
        <v>OK</v>
      </c>
      <c r="AQ14" s="14" t="str">
        <f t="shared" si="19"/>
        <v>OK</v>
      </c>
      <c r="AR14" s="56" t="str">
        <f t="shared" si="18"/>
        <v>OK</v>
      </c>
      <c r="AS14" s="56" t="str">
        <f t="shared" si="18"/>
        <v>OK</v>
      </c>
      <c r="AT14" s="9" t="str">
        <f t="shared" si="18"/>
        <v>OK</v>
      </c>
      <c r="CG14" s="1"/>
      <c r="CH14" s="2"/>
      <c r="CM14" s="4"/>
      <c r="CS14" s="4"/>
    </row>
    <row r="15" spans="1:97" ht="15.75" thickBot="1" x14ac:dyDescent="0.3">
      <c r="A15" s="96"/>
      <c r="B15" s="96" t="s">
        <v>50</v>
      </c>
      <c r="C15" s="135" t="s">
        <v>61</v>
      </c>
      <c r="D15" s="136">
        <v>42681</v>
      </c>
      <c r="E15" s="137">
        <v>0.4548611111111111</v>
      </c>
      <c r="F15" s="103" t="s">
        <v>67</v>
      </c>
      <c r="G15" s="103" t="s">
        <v>68</v>
      </c>
      <c r="H15" s="108">
        <v>260000</v>
      </c>
      <c r="I15" s="108">
        <v>150000</v>
      </c>
      <c r="J15" s="108">
        <v>260000</v>
      </c>
      <c r="K15" s="109">
        <v>0.75</v>
      </c>
      <c r="L15" s="110">
        <v>0.75</v>
      </c>
      <c r="M15" s="103" t="s">
        <v>68</v>
      </c>
      <c r="N15" s="111" t="s">
        <v>68</v>
      </c>
      <c r="O15" s="111" t="s">
        <v>67</v>
      </c>
      <c r="P15" s="29"/>
      <c r="Q15" s="5" t="str">
        <f t="shared" si="12"/>
        <v>XL INSURANCE CO SE</v>
      </c>
      <c r="R15" s="116">
        <v>0.28050000000000003</v>
      </c>
      <c r="S15" s="117">
        <v>0.1275</v>
      </c>
      <c r="T15" s="117">
        <v>0.187</v>
      </c>
      <c r="U15" s="75">
        <f t="shared" si="13"/>
        <v>0.59499999999999997</v>
      </c>
      <c r="V15" s="133">
        <f t="shared" si="14"/>
        <v>-0.15</v>
      </c>
      <c r="X15" s="119" t="str">
        <f t="shared" si="15"/>
        <v>OK</v>
      </c>
      <c r="AB15" s="14"/>
      <c r="AC15" s="14"/>
      <c r="AD15" s="14"/>
      <c r="AE15" s="14"/>
      <c r="AF15" s="14"/>
      <c r="AG15" s="14"/>
      <c r="AJ15">
        <v>6</v>
      </c>
      <c r="AK15" s="57" t="str">
        <f t="shared" ref="AK15:AT15" si="20">IF(AK8&lt;&gt;"SI",IF(AK8&lt;&gt;"NO",IF(AK8&lt;&gt;"","ERR","OK"),"OK"),"OK")</f>
        <v>OK</v>
      </c>
      <c r="AL15" s="58" t="str">
        <f t="shared" si="20"/>
        <v>OK</v>
      </c>
      <c r="AM15" s="17" t="str">
        <f t="shared" si="6"/>
        <v>OK</v>
      </c>
      <c r="AN15" s="17" t="str">
        <f t="shared" si="7"/>
        <v>OK</v>
      </c>
      <c r="AO15" s="17" t="str">
        <f t="shared" si="8"/>
        <v>OK</v>
      </c>
      <c r="AP15" s="17" t="str">
        <f t="shared" ref="AP15:AQ15" si="21">IF(AP8=0,"OK",IF(AP8&lt;75%,"ERR",IF(AP8&gt;100%,"ERR","OK")))</f>
        <v>OK</v>
      </c>
      <c r="AQ15" s="17" t="str">
        <f t="shared" si="21"/>
        <v>OK</v>
      </c>
      <c r="AR15" s="58" t="str">
        <f t="shared" si="20"/>
        <v>OK</v>
      </c>
      <c r="AS15" s="58" t="str">
        <f t="shared" si="20"/>
        <v>OK</v>
      </c>
      <c r="AT15" s="59" t="str">
        <f t="shared" si="20"/>
        <v>OK</v>
      </c>
      <c r="CG15" s="1"/>
      <c r="CH15" s="2"/>
      <c r="CM15" s="4"/>
      <c r="CS15" s="4"/>
    </row>
    <row r="16" spans="1:97" x14ac:dyDescent="0.25">
      <c r="A16" s="96"/>
      <c r="B16" s="96" t="s">
        <v>51</v>
      </c>
      <c r="C16" s="135" t="s">
        <v>62</v>
      </c>
      <c r="D16" s="136">
        <v>42681</v>
      </c>
      <c r="E16" s="138">
        <v>0.45833333333333331</v>
      </c>
      <c r="F16" s="103" t="s">
        <v>67</v>
      </c>
      <c r="G16" s="103" t="s">
        <v>68</v>
      </c>
      <c r="H16" s="108">
        <v>355000</v>
      </c>
      <c r="I16" s="108">
        <v>150000</v>
      </c>
      <c r="J16" s="108">
        <v>300000</v>
      </c>
      <c r="K16" s="109">
        <v>1</v>
      </c>
      <c r="L16" s="110">
        <v>1</v>
      </c>
      <c r="M16" s="103" t="s">
        <v>68</v>
      </c>
      <c r="N16" s="111" t="s">
        <v>68</v>
      </c>
      <c r="O16" s="111" t="s">
        <v>68</v>
      </c>
      <c r="P16" s="29"/>
      <c r="Q16" s="5" t="str">
        <f t="shared" si="12"/>
        <v>QBE INSURANCE EUROPE LTD</v>
      </c>
      <c r="R16" s="116">
        <v>0.28050000000000003</v>
      </c>
      <c r="S16" s="117">
        <v>0.1275</v>
      </c>
      <c r="T16" s="117">
        <v>0.187</v>
      </c>
      <c r="U16" s="75">
        <f t="shared" si="13"/>
        <v>0.59499999999999997</v>
      </c>
      <c r="V16" s="133">
        <f t="shared" si="14"/>
        <v>-0.15</v>
      </c>
      <c r="X16" s="119" t="str">
        <f t="shared" si="15"/>
        <v>OK</v>
      </c>
      <c r="AB16" s="14"/>
      <c r="AC16" s="14"/>
      <c r="AD16" s="14"/>
      <c r="AE16" s="14"/>
      <c r="AF16" s="14"/>
      <c r="AG16" s="14"/>
      <c r="AJ16" s="5" t="s">
        <v>57</v>
      </c>
      <c r="AK16" s="4">
        <f>COUNTIF(AK10:AK15,"ERR")</f>
        <v>0</v>
      </c>
      <c r="AL16" s="4">
        <f t="shared" ref="AL16:AT16" si="22">COUNTIF(AL10:AL15,"ERR")</f>
        <v>0</v>
      </c>
      <c r="AM16" s="4">
        <f t="shared" si="22"/>
        <v>0</v>
      </c>
      <c r="AN16" s="4">
        <f t="shared" si="22"/>
        <v>0</v>
      </c>
      <c r="AO16" s="4">
        <f t="shared" si="22"/>
        <v>0</v>
      </c>
      <c r="AP16" s="4">
        <f t="shared" si="22"/>
        <v>0</v>
      </c>
      <c r="AQ16" s="4">
        <f t="shared" si="22"/>
        <v>0</v>
      </c>
      <c r="AR16" s="4">
        <f t="shared" si="22"/>
        <v>0</v>
      </c>
      <c r="AS16" s="4">
        <f t="shared" si="22"/>
        <v>0</v>
      </c>
      <c r="AT16" s="4">
        <f t="shared" si="22"/>
        <v>0</v>
      </c>
      <c r="CG16" s="1"/>
      <c r="CH16" s="2"/>
      <c r="CM16" s="4"/>
      <c r="CS16" s="4"/>
    </row>
    <row r="17" spans="1:97" ht="15.75" thickBot="1" x14ac:dyDescent="0.3">
      <c r="A17" s="96"/>
      <c r="B17" s="96" t="s">
        <v>52</v>
      </c>
      <c r="C17" s="135" t="s">
        <v>63</v>
      </c>
      <c r="D17" s="136">
        <v>42681</v>
      </c>
      <c r="E17" s="137">
        <v>0.46875</v>
      </c>
      <c r="F17" s="112" t="s">
        <v>68</v>
      </c>
      <c r="G17" s="103" t="s">
        <v>68</v>
      </c>
      <c r="H17" s="108">
        <v>501000</v>
      </c>
      <c r="I17" s="108">
        <v>150000</v>
      </c>
      <c r="J17" s="108">
        <v>301000</v>
      </c>
      <c r="K17" s="109">
        <v>1</v>
      </c>
      <c r="L17" s="110">
        <v>1</v>
      </c>
      <c r="M17" s="103" t="s">
        <v>68</v>
      </c>
      <c r="N17" s="113" t="s">
        <v>68</v>
      </c>
      <c r="O17" s="113" t="s">
        <v>68</v>
      </c>
      <c r="P17" s="49"/>
      <c r="Q17" s="5" t="str">
        <f t="shared" si="12"/>
        <v>UNIPOLSAI ASSICURAZIONI S.p.A.</v>
      </c>
      <c r="R17" s="116">
        <v>0.28050000000000003</v>
      </c>
      <c r="S17" s="117">
        <v>0.1275</v>
      </c>
      <c r="T17" s="117">
        <v>0.187</v>
      </c>
      <c r="U17" s="75">
        <f t="shared" si="13"/>
        <v>0.59499999999999997</v>
      </c>
      <c r="V17" s="134">
        <f t="shared" si="14"/>
        <v>-0.15</v>
      </c>
      <c r="X17" s="120" t="str">
        <f t="shared" si="15"/>
        <v>OK</v>
      </c>
      <c r="AB17" s="14"/>
      <c r="AC17" s="14"/>
      <c r="AD17" s="14"/>
      <c r="AE17" s="14"/>
      <c r="AF17" s="14"/>
      <c r="AG17" s="14"/>
      <c r="AJ17" s="5" t="s">
        <v>58</v>
      </c>
      <c r="AK17" s="4" t="str">
        <f>IF(AK16&gt;0,"ERR","OK")</f>
        <v>OK</v>
      </c>
      <c r="AL17" s="4" t="str">
        <f t="shared" ref="AL17:AT17" si="23">IF(AL16&gt;0,"ERR","OK")</f>
        <v>OK</v>
      </c>
      <c r="AM17" s="4" t="str">
        <f t="shared" si="23"/>
        <v>OK</v>
      </c>
      <c r="AN17" s="4" t="str">
        <f t="shared" si="23"/>
        <v>OK</v>
      </c>
      <c r="AO17" s="4" t="str">
        <f t="shared" si="23"/>
        <v>OK</v>
      </c>
      <c r="AP17" s="4" t="str">
        <f t="shared" si="23"/>
        <v>OK</v>
      </c>
      <c r="AQ17" s="4" t="str">
        <f t="shared" si="23"/>
        <v>OK</v>
      </c>
      <c r="AR17" s="4" t="str">
        <f t="shared" si="23"/>
        <v>OK</v>
      </c>
      <c r="AS17" s="4" t="str">
        <f t="shared" si="23"/>
        <v>OK</v>
      </c>
      <c r="AT17" s="4" t="str">
        <f t="shared" si="23"/>
        <v>OK</v>
      </c>
      <c r="CG17" s="1"/>
      <c r="CH17" s="2"/>
      <c r="CM17" s="4"/>
      <c r="CS17" s="4"/>
    </row>
    <row r="18" spans="1:97" ht="15.75" thickBot="1" x14ac:dyDescent="0.3">
      <c r="E18" s="5" t="s">
        <v>48</v>
      </c>
      <c r="F18" s="50" t="str">
        <f t="shared" ref="F18:O18" si="24">AK17</f>
        <v>OK</v>
      </c>
      <c r="G18" s="50" t="str">
        <f t="shared" si="24"/>
        <v>OK</v>
      </c>
      <c r="H18" s="50" t="str">
        <f t="shared" si="24"/>
        <v>OK</v>
      </c>
      <c r="I18" s="50" t="str">
        <f t="shared" si="24"/>
        <v>OK</v>
      </c>
      <c r="J18" s="50" t="str">
        <f t="shared" si="24"/>
        <v>OK</v>
      </c>
      <c r="K18" s="50" t="str">
        <f t="shared" si="24"/>
        <v>OK</v>
      </c>
      <c r="L18" s="50" t="str">
        <f t="shared" si="24"/>
        <v>OK</v>
      </c>
      <c r="M18" s="50" t="str">
        <f t="shared" si="24"/>
        <v>OK</v>
      </c>
      <c r="N18" s="50" t="str">
        <f t="shared" si="24"/>
        <v>OK</v>
      </c>
      <c r="O18" s="50" t="str">
        <f t="shared" si="24"/>
        <v>OK</v>
      </c>
      <c r="P18" s="30"/>
      <c r="Q18" s="5" t="s">
        <v>48</v>
      </c>
      <c r="R18" s="50" t="str">
        <f>AK29</f>
        <v>OK</v>
      </c>
      <c r="S18" s="50" t="str">
        <f t="shared" ref="S18:U18" si="25">AL29</f>
        <v>OK</v>
      </c>
      <c r="T18" s="50" t="str">
        <f t="shared" si="25"/>
        <v>OK</v>
      </c>
      <c r="U18" s="50" t="str">
        <f t="shared" si="25"/>
        <v>OK</v>
      </c>
      <c r="V18" s="9"/>
      <c r="AB18" s="14"/>
      <c r="AC18" s="14"/>
      <c r="AD18" s="14"/>
      <c r="AE18" s="14"/>
      <c r="AF18" s="14"/>
      <c r="AG18" s="14"/>
      <c r="CG18" s="1"/>
      <c r="CH18" s="2"/>
      <c r="CM18" s="4"/>
      <c r="CS18" s="4"/>
    </row>
    <row r="19" spans="1:97" ht="15.75" thickBot="1" x14ac:dyDescent="0.3">
      <c r="E19" s="23" t="s">
        <v>12</v>
      </c>
      <c r="F19" s="64"/>
      <c r="G19" s="64"/>
      <c r="H19" s="64">
        <f t="shared" ref="H19:L19" si="26">MAX(H12:H17)</f>
        <v>1000000</v>
      </c>
      <c r="I19" s="64">
        <f t="shared" si="26"/>
        <v>150000</v>
      </c>
      <c r="J19" s="64">
        <f t="shared" si="26"/>
        <v>301000</v>
      </c>
      <c r="K19" s="65">
        <f t="shared" si="26"/>
        <v>1</v>
      </c>
      <c r="L19" s="65">
        <f t="shared" si="26"/>
        <v>1</v>
      </c>
      <c r="M19" s="64"/>
      <c r="N19" s="64"/>
      <c r="O19" s="64"/>
      <c r="P19" s="31"/>
      <c r="Q19" s="25"/>
      <c r="R19" s="24"/>
      <c r="S19" s="24"/>
      <c r="T19" s="25" t="s">
        <v>15</v>
      </c>
      <c r="U19" s="76">
        <f>MIN(U12:U17)</f>
        <v>0.59499999999999997</v>
      </c>
      <c r="V19" s="26"/>
      <c r="AB19" s="14"/>
      <c r="AC19" s="14"/>
      <c r="AD19" s="14"/>
      <c r="AE19" s="14"/>
      <c r="AF19" s="14"/>
      <c r="AG19" s="14"/>
      <c r="CG19" s="1"/>
      <c r="CH19" s="2"/>
      <c r="CM19" s="4"/>
      <c r="CS19" s="4"/>
    </row>
    <row r="20" spans="1:97" ht="15.75" thickBot="1" x14ac:dyDescent="0.3">
      <c r="P20" s="30"/>
      <c r="U20" s="30"/>
      <c r="V20" s="9"/>
      <c r="AK20" s="142" t="s">
        <v>20</v>
      </c>
      <c r="AL20" s="143"/>
      <c r="AM20" s="143"/>
      <c r="AN20" s="144"/>
    </row>
    <row r="21" spans="1:97" ht="15.75" thickBot="1" x14ac:dyDescent="0.3">
      <c r="A21" s="19">
        <f>V21</f>
        <v>86.716777408637881</v>
      </c>
      <c r="B21" s="96" t="s">
        <v>65</v>
      </c>
      <c r="C21" s="135" t="str">
        <f>C12</f>
        <v>ALLIANZ S.p.A.</v>
      </c>
      <c r="D21" s="136">
        <f>D12</f>
        <v>42678</v>
      </c>
      <c r="E21" s="137">
        <f>E12</f>
        <v>0.43333333333333335</v>
      </c>
      <c r="F21" s="70">
        <f>IF(F12="SI",F$7,0)</f>
        <v>0</v>
      </c>
      <c r="G21" s="66">
        <f>IF(G12="SI",G$7,0)</f>
        <v>3</v>
      </c>
      <c r="H21" s="66">
        <f>IF(H$19&gt;H$8,IF(H12&gt;H$8,H12/H$19*H$7,0),0)</f>
        <v>3.75</v>
      </c>
      <c r="I21" s="66">
        <f>IF(I$19&gt;I$8,IF(I12&gt;I$8,I12/I$19*I$7,0),0)</f>
        <v>2</v>
      </c>
      <c r="J21" s="66">
        <f>IF(J$19&gt;J$8,IF(J12&gt;J$8,J12/J$19*J$7,0),0)</f>
        <v>9.9667774086378742</v>
      </c>
      <c r="K21" s="66">
        <f>IF(K$19&gt;K$8,IF(K12&gt;K$8,K12/K$19*K$7,0),0)</f>
        <v>8</v>
      </c>
      <c r="L21" s="66">
        <f>IF(L$19&gt;L$8,IF(L12&gt;L$8,L12/L$19*L$7,0),0)</f>
        <v>10</v>
      </c>
      <c r="M21" s="66">
        <f t="shared" ref="M21:O21" si="27">IF(M12="SI",M$7,0)</f>
        <v>10</v>
      </c>
      <c r="N21" s="66">
        <f t="shared" si="27"/>
        <v>10</v>
      </c>
      <c r="O21" s="66">
        <f t="shared" si="27"/>
        <v>10</v>
      </c>
      <c r="P21" s="67">
        <f>SUM(F21:O21)</f>
        <v>66.716777408637881</v>
      </c>
      <c r="Q21" s="77"/>
      <c r="R21" s="52"/>
      <c r="S21" s="52"/>
      <c r="T21" s="78" t="str">
        <f>Q12</f>
        <v>ALLIANZ S.p.A.</v>
      </c>
      <c r="U21" s="67">
        <f>IF(U12&gt;0,U$19/U12*U$7,0)</f>
        <v>20</v>
      </c>
      <c r="V21" s="81">
        <f>U21+P21</f>
        <v>86.716777408637881</v>
      </c>
      <c r="AK21" s="36" t="s">
        <v>4</v>
      </c>
      <c r="AL21" s="37" t="s">
        <v>5</v>
      </c>
      <c r="AM21" s="37" t="s">
        <v>6</v>
      </c>
      <c r="AN21" s="38" t="s">
        <v>21</v>
      </c>
      <c r="CH21" s="5"/>
      <c r="CI21" s="4"/>
      <c r="CJ21" s="4"/>
      <c r="CK21" s="4"/>
      <c r="CL21" s="4"/>
      <c r="CN21" s="5"/>
    </row>
    <row r="22" spans="1:97" x14ac:dyDescent="0.25">
      <c r="A22" s="19">
        <f t="shared" ref="A22:A26" si="28">V22</f>
        <v>94.966777408637881</v>
      </c>
      <c r="B22" s="96" t="s">
        <v>66</v>
      </c>
      <c r="C22" s="135" t="str">
        <f t="shared" ref="C22:E26" si="29">C13</f>
        <v>CATTOLICA SOCIETA' CATTOLICA DI ASSICURAZIONE</v>
      </c>
      <c r="D22" s="136">
        <f t="shared" si="29"/>
        <v>42681</v>
      </c>
      <c r="E22" s="137">
        <f t="shared" si="29"/>
        <v>0.4236111111111111</v>
      </c>
      <c r="F22" s="71">
        <f t="shared" ref="F22:G26" si="30">IF(F13="SI",F$7,0)</f>
        <v>0</v>
      </c>
      <c r="G22" s="68">
        <f t="shared" si="30"/>
        <v>3</v>
      </c>
      <c r="H22" s="68">
        <f t="shared" ref="H22:K26" si="31">IF(H$19&gt;H$8,IF(H13&gt;H$8,H13/H$19*H$7,0),0)</f>
        <v>10</v>
      </c>
      <c r="I22" s="68">
        <f t="shared" si="31"/>
        <v>2</v>
      </c>
      <c r="J22" s="68">
        <f t="shared" si="31"/>
        <v>9.9667774086378742</v>
      </c>
      <c r="K22" s="68">
        <f t="shared" si="31"/>
        <v>10</v>
      </c>
      <c r="L22" s="68">
        <f t="shared" ref="L22" si="32">IF(L$19&gt;L$8,IF(L13&gt;L$8,L13/L$19*L$7,0),0)</f>
        <v>10</v>
      </c>
      <c r="M22" s="68">
        <f t="shared" ref="M22:O22" si="33">IF(M13="SI",M$7,0)</f>
        <v>10</v>
      </c>
      <c r="N22" s="68">
        <f t="shared" si="33"/>
        <v>10</v>
      </c>
      <c r="O22" s="68">
        <f t="shared" si="33"/>
        <v>10</v>
      </c>
      <c r="P22" s="32">
        <f t="shared" ref="P22:P26" si="34">SUM(F22:O22)</f>
        <v>74.966777408637881</v>
      </c>
      <c r="Q22" s="55"/>
      <c r="R22" s="56"/>
      <c r="S22" s="56"/>
      <c r="T22" s="79" t="str">
        <f t="shared" ref="T22:T26" si="35">Q13</f>
        <v>CATTOLICA SOCIETA' CATTOLICA DI ASSICURAZIONE</v>
      </c>
      <c r="U22" s="32">
        <f>IF(U13&gt;0,U$19/U13*U$7,0)</f>
        <v>20</v>
      </c>
      <c r="V22" s="82">
        <f t="shared" ref="V22:V26" si="36">U22+P22</f>
        <v>94.966777408637881</v>
      </c>
      <c r="AK22" s="10" t="str">
        <f t="shared" ref="AK22:AN27" si="37">IF(R12=0,"OK",IF(R12&lt;(R$8-R$8*R$10),"ALERT",IF(R12&gt;R$8,"ALERT","OK")))</f>
        <v>OK</v>
      </c>
      <c r="AL22" s="11" t="str">
        <f t="shared" si="37"/>
        <v>OK</v>
      </c>
      <c r="AM22" s="11" t="str">
        <f t="shared" si="37"/>
        <v>OK</v>
      </c>
      <c r="AN22" s="12" t="str">
        <f t="shared" si="37"/>
        <v>OK</v>
      </c>
    </row>
    <row r="23" spans="1:97" x14ac:dyDescent="0.25">
      <c r="A23" s="19">
        <f t="shared" si="28"/>
        <v>92.572093023255817</v>
      </c>
      <c r="B23" s="96" t="s">
        <v>49</v>
      </c>
      <c r="C23" s="135" t="str">
        <f t="shared" si="29"/>
        <v>GENERALI ITALIA S.p.A.</v>
      </c>
      <c r="D23" s="136">
        <f t="shared" si="29"/>
        <v>42681</v>
      </c>
      <c r="E23" s="137">
        <f t="shared" si="29"/>
        <v>0.42708333333333331</v>
      </c>
      <c r="F23" s="71">
        <f t="shared" si="30"/>
        <v>5</v>
      </c>
      <c r="G23" s="68">
        <f t="shared" si="30"/>
        <v>3</v>
      </c>
      <c r="H23" s="68">
        <f t="shared" si="31"/>
        <v>4.2</v>
      </c>
      <c r="I23" s="68">
        <f t="shared" si="31"/>
        <v>2</v>
      </c>
      <c r="J23" s="68">
        <f t="shared" si="31"/>
        <v>8.3720930232558146</v>
      </c>
      <c r="K23" s="68">
        <f t="shared" si="31"/>
        <v>10</v>
      </c>
      <c r="L23" s="68">
        <f t="shared" ref="L23" si="38">IF(L$19&gt;L$8,IF(L14&gt;L$8,L14/L$19*L$7,0),0)</f>
        <v>10</v>
      </c>
      <c r="M23" s="68">
        <f t="shared" ref="M23:O23" si="39">IF(M14="SI",M$7,0)</f>
        <v>10</v>
      </c>
      <c r="N23" s="68">
        <f t="shared" si="39"/>
        <v>10</v>
      </c>
      <c r="O23" s="68">
        <f t="shared" si="39"/>
        <v>10</v>
      </c>
      <c r="P23" s="32">
        <f t="shared" si="34"/>
        <v>72.572093023255817</v>
      </c>
      <c r="Q23" s="55"/>
      <c r="R23" s="56"/>
      <c r="S23" s="56"/>
      <c r="T23" s="79" t="str">
        <f t="shared" si="35"/>
        <v>GENERALI ITALIA S.p.A.</v>
      </c>
      <c r="U23" s="32">
        <f t="shared" ref="U23:U26" si="40">IF(U14&gt;0,U$19/U14*U$7,0)</f>
        <v>20</v>
      </c>
      <c r="V23" s="82">
        <f t="shared" si="36"/>
        <v>92.572093023255817</v>
      </c>
      <c r="AK23" s="13" t="str">
        <f t="shared" si="37"/>
        <v>OK</v>
      </c>
      <c r="AL23" s="14" t="str">
        <f t="shared" si="37"/>
        <v>OK</v>
      </c>
      <c r="AM23" s="14" t="str">
        <f t="shared" si="37"/>
        <v>OK</v>
      </c>
      <c r="AN23" s="15" t="str">
        <f t="shared" si="37"/>
        <v>OK</v>
      </c>
      <c r="CD23" s="19"/>
      <c r="CG23" s="1"/>
      <c r="CH23" s="2"/>
      <c r="CI23" s="19"/>
      <c r="CJ23" s="19"/>
      <c r="CK23" s="19"/>
      <c r="CL23" s="19"/>
      <c r="CM23" s="19"/>
      <c r="CR23" s="19"/>
      <c r="CS23" s="19"/>
    </row>
    <row r="24" spans="1:97" x14ac:dyDescent="0.25">
      <c r="A24" s="19">
        <f t="shared" si="28"/>
        <v>56.237873754152822</v>
      </c>
      <c r="B24" s="96" t="s">
        <v>50</v>
      </c>
      <c r="C24" s="135" t="str">
        <f t="shared" si="29"/>
        <v>XL INSURANCE CO SE</v>
      </c>
      <c r="D24" s="136">
        <f t="shared" si="29"/>
        <v>42681</v>
      </c>
      <c r="E24" s="137">
        <f t="shared" si="29"/>
        <v>0.4548611111111111</v>
      </c>
      <c r="F24" s="71">
        <f t="shared" si="30"/>
        <v>0</v>
      </c>
      <c r="G24" s="68">
        <f t="shared" si="30"/>
        <v>3</v>
      </c>
      <c r="H24" s="68">
        <f t="shared" si="31"/>
        <v>2.6</v>
      </c>
      <c r="I24" s="68">
        <f t="shared" si="31"/>
        <v>2</v>
      </c>
      <c r="J24" s="68">
        <f t="shared" si="31"/>
        <v>8.6378737541528245</v>
      </c>
      <c r="K24" s="68">
        <f t="shared" si="31"/>
        <v>0</v>
      </c>
      <c r="L24" s="68">
        <f t="shared" ref="L24" si="41">IF(L$19&gt;L$8,IF(L15&gt;L$8,L15/L$19*L$7,0),0)</f>
        <v>0</v>
      </c>
      <c r="M24" s="68">
        <f t="shared" ref="M24:O24" si="42">IF(M15="SI",M$7,0)</f>
        <v>10</v>
      </c>
      <c r="N24" s="68">
        <f t="shared" si="42"/>
        <v>10</v>
      </c>
      <c r="O24" s="68">
        <f t="shared" si="42"/>
        <v>0</v>
      </c>
      <c r="P24" s="32">
        <f t="shared" si="34"/>
        <v>36.237873754152822</v>
      </c>
      <c r="Q24" s="55"/>
      <c r="R24" s="56"/>
      <c r="S24" s="56"/>
      <c r="T24" s="79" t="str">
        <f t="shared" si="35"/>
        <v>XL INSURANCE CO SE</v>
      </c>
      <c r="U24" s="32">
        <f t="shared" si="40"/>
        <v>20</v>
      </c>
      <c r="V24" s="82">
        <f t="shared" si="36"/>
        <v>56.237873754152822</v>
      </c>
      <c r="AK24" s="13" t="str">
        <f t="shared" si="37"/>
        <v>OK</v>
      </c>
      <c r="AL24" s="14" t="str">
        <f t="shared" si="37"/>
        <v>OK</v>
      </c>
      <c r="AM24" s="14" t="str">
        <f t="shared" si="37"/>
        <v>OK</v>
      </c>
      <c r="AN24" s="15" t="str">
        <f t="shared" si="37"/>
        <v>OK</v>
      </c>
      <c r="CD24" s="19"/>
      <c r="CG24" s="1"/>
      <c r="CH24" s="2"/>
      <c r="CI24" s="19"/>
      <c r="CJ24" s="19"/>
      <c r="CK24" s="19"/>
      <c r="CL24" s="19"/>
      <c r="CM24" s="19"/>
      <c r="CR24" s="19"/>
      <c r="CS24" s="19"/>
    </row>
    <row r="25" spans="1:97" x14ac:dyDescent="0.25">
      <c r="A25" s="19">
        <f t="shared" si="28"/>
        <v>88.516777408637878</v>
      </c>
      <c r="B25" s="96" t="s">
        <v>51</v>
      </c>
      <c r="C25" s="135" t="str">
        <f t="shared" si="29"/>
        <v>QBE INSURANCE EUROPE LTD</v>
      </c>
      <c r="D25" s="136">
        <f t="shared" si="29"/>
        <v>42681</v>
      </c>
      <c r="E25" s="137">
        <f t="shared" si="29"/>
        <v>0.45833333333333331</v>
      </c>
      <c r="F25" s="71">
        <f t="shared" si="30"/>
        <v>0</v>
      </c>
      <c r="G25" s="68">
        <f t="shared" si="30"/>
        <v>3</v>
      </c>
      <c r="H25" s="68">
        <f t="shared" si="31"/>
        <v>3.55</v>
      </c>
      <c r="I25" s="68">
        <f t="shared" si="31"/>
        <v>2</v>
      </c>
      <c r="J25" s="68">
        <f t="shared" si="31"/>
        <v>9.9667774086378742</v>
      </c>
      <c r="K25" s="68">
        <f t="shared" si="31"/>
        <v>10</v>
      </c>
      <c r="L25" s="68">
        <f t="shared" ref="L25" si="43">IF(L$19&gt;L$8,IF(L16&gt;L$8,L16/L$19*L$7,0),0)</f>
        <v>10</v>
      </c>
      <c r="M25" s="68">
        <f t="shared" ref="M25:O25" si="44">IF(M16="SI",M$7,0)</f>
        <v>10</v>
      </c>
      <c r="N25" s="68">
        <f t="shared" si="44"/>
        <v>10</v>
      </c>
      <c r="O25" s="68">
        <f t="shared" si="44"/>
        <v>10</v>
      </c>
      <c r="P25" s="32">
        <f t="shared" si="34"/>
        <v>68.516777408637878</v>
      </c>
      <c r="Q25" s="55"/>
      <c r="R25" s="56"/>
      <c r="S25" s="56"/>
      <c r="T25" s="79" t="str">
        <f t="shared" si="35"/>
        <v>QBE INSURANCE EUROPE LTD</v>
      </c>
      <c r="U25" s="32">
        <f t="shared" si="40"/>
        <v>20</v>
      </c>
      <c r="V25" s="82">
        <f t="shared" si="36"/>
        <v>88.516777408637878</v>
      </c>
      <c r="AK25" s="13" t="str">
        <f t="shared" si="37"/>
        <v>OK</v>
      </c>
      <c r="AL25" s="14" t="str">
        <f t="shared" si="37"/>
        <v>OK</v>
      </c>
      <c r="AM25" s="14" t="str">
        <f t="shared" si="37"/>
        <v>OK</v>
      </c>
      <c r="AN25" s="15" t="str">
        <f t="shared" si="37"/>
        <v>OK</v>
      </c>
      <c r="CD25" s="19"/>
      <c r="CG25" s="1"/>
      <c r="CH25" s="2"/>
      <c r="CI25" s="19"/>
      <c r="CJ25" s="19"/>
      <c r="CK25" s="19"/>
      <c r="CL25" s="19"/>
      <c r="CM25" s="19"/>
      <c r="CR25" s="19"/>
      <c r="CS25" s="19"/>
    </row>
    <row r="26" spans="1:97" ht="15.75" thickBot="1" x14ac:dyDescent="0.3">
      <c r="A26" s="19">
        <f t="shared" si="28"/>
        <v>95.009999999999991</v>
      </c>
      <c r="B26" s="96" t="s">
        <v>52</v>
      </c>
      <c r="C26" s="135" t="str">
        <f t="shared" si="29"/>
        <v>UNIPOLSAI ASSICURAZIONI S.p.A.</v>
      </c>
      <c r="D26" s="136">
        <f t="shared" si="29"/>
        <v>42681</v>
      </c>
      <c r="E26" s="137">
        <f t="shared" si="29"/>
        <v>0.46875</v>
      </c>
      <c r="F26" s="72">
        <f t="shared" si="30"/>
        <v>5</v>
      </c>
      <c r="G26" s="69">
        <f t="shared" si="30"/>
        <v>3</v>
      </c>
      <c r="H26" s="69">
        <f t="shared" si="31"/>
        <v>5.01</v>
      </c>
      <c r="I26" s="69">
        <f t="shared" si="31"/>
        <v>2</v>
      </c>
      <c r="J26" s="69">
        <f t="shared" si="31"/>
        <v>10</v>
      </c>
      <c r="K26" s="69">
        <f t="shared" si="31"/>
        <v>10</v>
      </c>
      <c r="L26" s="69">
        <f t="shared" ref="L26" si="45">IF(L$19&gt;L$8,IF(L17&gt;L$8,L17/L$19*L$7,0),0)</f>
        <v>10</v>
      </c>
      <c r="M26" s="69">
        <f t="shared" ref="M26:O26" si="46">IF(M17="SI",M$7,0)</f>
        <v>10</v>
      </c>
      <c r="N26" s="69">
        <f t="shared" si="46"/>
        <v>10</v>
      </c>
      <c r="O26" s="69">
        <f t="shared" si="46"/>
        <v>10</v>
      </c>
      <c r="P26" s="33">
        <f t="shared" si="34"/>
        <v>75.009999999999991</v>
      </c>
      <c r="Q26" s="57"/>
      <c r="R26" s="58"/>
      <c r="S26" s="58"/>
      <c r="T26" s="80" t="str">
        <f t="shared" si="35"/>
        <v>UNIPOLSAI ASSICURAZIONI S.p.A.</v>
      </c>
      <c r="U26" s="33">
        <f t="shared" si="40"/>
        <v>20</v>
      </c>
      <c r="V26" s="83">
        <f t="shared" si="36"/>
        <v>95.009999999999991</v>
      </c>
      <c r="AK26" s="13" t="str">
        <f t="shared" si="37"/>
        <v>OK</v>
      </c>
      <c r="AL26" s="14" t="str">
        <f t="shared" si="37"/>
        <v>OK</v>
      </c>
      <c r="AM26" s="14" t="str">
        <f t="shared" si="37"/>
        <v>OK</v>
      </c>
      <c r="AN26" s="15" t="str">
        <f t="shared" si="37"/>
        <v>OK</v>
      </c>
      <c r="CD26" s="19"/>
      <c r="CG26" s="1"/>
      <c r="CH26" s="2"/>
      <c r="CI26" s="19"/>
      <c r="CJ26" s="19"/>
      <c r="CK26" s="19"/>
      <c r="CL26" s="19"/>
      <c r="CM26" s="19"/>
      <c r="CR26" s="19"/>
      <c r="CS26" s="19"/>
    </row>
    <row r="27" spans="1:97" ht="15.75" thickBot="1" x14ac:dyDescent="0.3">
      <c r="P27" s="56"/>
      <c r="U27" s="56"/>
      <c r="V27" s="56"/>
      <c r="X27" s="118" t="s">
        <v>16</v>
      </c>
      <c r="AK27" s="16" t="str">
        <f t="shared" si="37"/>
        <v>OK</v>
      </c>
      <c r="AL27" s="17" t="str">
        <f t="shared" si="37"/>
        <v>OK</v>
      </c>
      <c r="AM27" s="17" t="str">
        <f t="shared" si="37"/>
        <v>OK</v>
      </c>
      <c r="AN27" s="18" t="str">
        <f t="shared" si="37"/>
        <v>OK</v>
      </c>
      <c r="CD27" s="19"/>
      <c r="CG27" s="1"/>
      <c r="CH27" s="2"/>
      <c r="CI27" s="19"/>
      <c r="CJ27" s="19"/>
      <c r="CK27" s="19"/>
      <c r="CL27" s="19"/>
      <c r="CM27" s="19"/>
      <c r="CR27" s="19"/>
      <c r="CS27" s="19"/>
    </row>
    <row r="28" spans="1:97" ht="24" thickBot="1" x14ac:dyDescent="0.4">
      <c r="B28" s="121">
        <v>1</v>
      </c>
      <c r="C28" s="122" t="str">
        <f>IF($V28=0,"",VLOOKUP($V28,$A$21:$U$26,C$1,FALSE))</f>
        <v>UNIPOLSAI ASSICURAZIONI S.p.A.</v>
      </c>
      <c r="D28" s="123">
        <f t="shared" ref="D28:U33" si="47">IF($V28=0,"",VLOOKUP($V28,$A$21:$U$26,D$1,FALSE))</f>
        <v>42681</v>
      </c>
      <c r="E28" s="124">
        <f t="shared" si="47"/>
        <v>0.46875</v>
      </c>
      <c r="F28" s="125">
        <f t="shared" si="47"/>
        <v>5</v>
      </c>
      <c r="G28" s="125">
        <f t="shared" si="47"/>
        <v>3</v>
      </c>
      <c r="H28" s="125">
        <f t="shared" si="47"/>
        <v>5.01</v>
      </c>
      <c r="I28" s="125">
        <f t="shared" si="47"/>
        <v>2</v>
      </c>
      <c r="J28" s="125">
        <f t="shared" si="47"/>
        <v>10</v>
      </c>
      <c r="K28" s="125">
        <f t="shared" si="47"/>
        <v>10</v>
      </c>
      <c r="L28" s="125">
        <f t="shared" si="47"/>
        <v>10</v>
      </c>
      <c r="M28" s="125">
        <f t="shared" si="47"/>
        <v>10</v>
      </c>
      <c r="N28" s="125">
        <f t="shared" si="47"/>
        <v>10</v>
      </c>
      <c r="O28" s="125">
        <f t="shared" si="47"/>
        <v>10</v>
      </c>
      <c r="P28" s="126">
        <f t="shared" si="47"/>
        <v>75.009999999999991</v>
      </c>
      <c r="Q28" s="127"/>
      <c r="R28" s="125"/>
      <c r="S28" s="125"/>
      <c r="T28" s="125"/>
      <c r="U28" s="126">
        <f t="shared" si="47"/>
        <v>20</v>
      </c>
      <c r="V28" s="128">
        <f>LARGE(V$21:V$26,1)</f>
        <v>95.009999999999991</v>
      </c>
      <c r="W28" s="19"/>
      <c r="X28" s="119" t="str">
        <f>IF(U28="","OK",IF(V28=U28+P28,"OK","ALERT"))</f>
        <v>OK</v>
      </c>
      <c r="AJ28" s="5" t="s">
        <v>57</v>
      </c>
      <c r="AK28" s="4">
        <f>COUNTIF(AK22:AK27,"ALERT")</f>
        <v>0</v>
      </c>
      <c r="AL28" s="4">
        <f t="shared" ref="AL28:AN28" si="48">COUNTIF(AL22:AL27,"ALERT")</f>
        <v>0</v>
      </c>
      <c r="AM28" s="4">
        <f t="shared" si="48"/>
        <v>0</v>
      </c>
      <c r="AN28" s="4">
        <f t="shared" si="48"/>
        <v>0</v>
      </c>
      <c r="CD28" s="19"/>
      <c r="CG28" s="1"/>
      <c r="CH28" s="2"/>
      <c r="CI28" s="19"/>
      <c r="CJ28" s="19"/>
      <c r="CK28" s="19"/>
      <c r="CL28" s="19"/>
      <c r="CM28" s="19"/>
      <c r="CR28" s="19"/>
      <c r="CS28" s="19"/>
    </row>
    <row r="29" spans="1:97" ht="15.75" thickBot="1" x14ac:dyDescent="0.3">
      <c r="B29" s="99">
        <v>2</v>
      </c>
      <c r="C29" s="99" t="str">
        <f t="shared" ref="C29:C33" si="49">IF($V29=0,"",VLOOKUP($V29,$A$21:$U$26,C$1,FALSE))</f>
        <v>CATTOLICA SOCIETA' CATTOLICA DI ASSICURAZIONE</v>
      </c>
      <c r="D29" s="100">
        <f t="shared" si="47"/>
        <v>42681</v>
      </c>
      <c r="E29" s="101">
        <f t="shared" si="47"/>
        <v>0.4236111111111111</v>
      </c>
      <c r="F29" s="91">
        <f t="shared" si="47"/>
        <v>0</v>
      </c>
      <c r="G29" s="91">
        <f t="shared" si="47"/>
        <v>3</v>
      </c>
      <c r="H29" s="91">
        <f t="shared" si="47"/>
        <v>10</v>
      </c>
      <c r="I29" s="91">
        <f t="shared" si="47"/>
        <v>2</v>
      </c>
      <c r="J29" s="91">
        <f t="shared" si="47"/>
        <v>9.9667774086378742</v>
      </c>
      <c r="K29" s="91">
        <f t="shared" si="47"/>
        <v>10</v>
      </c>
      <c r="L29" s="91">
        <f t="shared" si="47"/>
        <v>10</v>
      </c>
      <c r="M29" s="91">
        <f t="shared" si="47"/>
        <v>10</v>
      </c>
      <c r="N29" s="91">
        <f t="shared" si="47"/>
        <v>10</v>
      </c>
      <c r="O29" s="91">
        <f t="shared" si="47"/>
        <v>10</v>
      </c>
      <c r="P29" s="92">
        <f t="shared" si="47"/>
        <v>74.966777408637881</v>
      </c>
      <c r="Q29" s="86"/>
      <c r="R29" s="86"/>
      <c r="S29" s="86"/>
      <c r="T29" s="86"/>
      <c r="U29" s="67">
        <f t="shared" si="47"/>
        <v>20</v>
      </c>
      <c r="V29" s="81">
        <f>LARGE(V$21:V$26,2)</f>
        <v>94.966777408637881</v>
      </c>
      <c r="W29" s="19"/>
      <c r="X29" s="119" t="str">
        <f t="shared" ref="X29:X33" si="50">IF(U29="","OK",IF(V29=U29+P29,"OK","ALERT"))</f>
        <v>OK</v>
      </c>
      <c r="AJ29" s="5" t="s">
        <v>58</v>
      </c>
      <c r="AK29" s="4" t="str">
        <f>IF(AK28&gt;0,"ERR","OK")</f>
        <v>OK</v>
      </c>
      <c r="AL29" s="4" t="str">
        <f t="shared" ref="AL29:AN29" si="51">IF(AL28&gt;0,"ERR","OK")</f>
        <v>OK</v>
      </c>
      <c r="AM29" s="4" t="str">
        <f t="shared" si="51"/>
        <v>OK</v>
      </c>
      <c r="AN29" s="4" t="str">
        <f t="shared" si="51"/>
        <v>OK</v>
      </c>
    </row>
    <row r="30" spans="1:97" ht="15.75" thickBot="1" x14ac:dyDescent="0.3">
      <c r="B30" s="88">
        <v>3</v>
      </c>
      <c r="C30" s="88" t="str">
        <f t="shared" si="49"/>
        <v>GENERALI ITALIA S.p.A.</v>
      </c>
      <c r="D30" s="90">
        <f t="shared" si="47"/>
        <v>42681</v>
      </c>
      <c r="E30" s="98">
        <f t="shared" si="47"/>
        <v>0.42708333333333331</v>
      </c>
      <c r="F30" s="69">
        <f t="shared" si="47"/>
        <v>5</v>
      </c>
      <c r="G30" s="69">
        <f t="shared" si="47"/>
        <v>3</v>
      </c>
      <c r="H30" s="69">
        <f t="shared" si="47"/>
        <v>4.2</v>
      </c>
      <c r="I30" s="69">
        <f t="shared" si="47"/>
        <v>2</v>
      </c>
      <c r="J30" s="69">
        <f t="shared" si="47"/>
        <v>8.3720930232558146</v>
      </c>
      <c r="K30" s="69">
        <f t="shared" si="47"/>
        <v>10</v>
      </c>
      <c r="L30" s="69">
        <f t="shared" si="47"/>
        <v>10</v>
      </c>
      <c r="M30" s="69">
        <f t="shared" si="47"/>
        <v>10</v>
      </c>
      <c r="N30" s="69">
        <f t="shared" si="47"/>
        <v>10</v>
      </c>
      <c r="O30" s="69">
        <f t="shared" si="47"/>
        <v>10</v>
      </c>
      <c r="P30" s="33">
        <f t="shared" si="47"/>
        <v>72.572093023255817</v>
      </c>
      <c r="Q30" s="87"/>
      <c r="R30" s="87"/>
      <c r="S30" s="87"/>
      <c r="T30" s="87"/>
      <c r="U30" s="32">
        <f t="shared" si="47"/>
        <v>20</v>
      </c>
      <c r="V30" s="82">
        <f>LARGE(V$21:V$26,3)</f>
        <v>92.572093023255817</v>
      </c>
      <c r="W30" s="19"/>
      <c r="X30" s="119" t="str">
        <f t="shared" si="50"/>
        <v>OK</v>
      </c>
    </row>
    <row r="31" spans="1:97" ht="15.75" thickBot="1" x14ac:dyDescent="0.3">
      <c r="B31" s="88">
        <v>4</v>
      </c>
      <c r="C31" s="88" t="str">
        <f t="shared" si="49"/>
        <v>QBE INSURANCE EUROPE LTD</v>
      </c>
      <c r="D31" s="90">
        <f t="shared" si="47"/>
        <v>42681</v>
      </c>
      <c r="E31" s="98">
        <f t="shared" si="47"/>
        <v>0.45833333333333331</v>
      </c>
      <c r="F31" s="69">
        <f t="shared" si="47"/>
        <v>0</v>
      </c>
      <c r="G31" s="69">
        <f t="shared" si="47"/>
        <v>3</v>
      </c>
      <c r="H31" s="69">
        <f t="shared" si="47"/>
        <v>3.55</v>
      </c>
      <c r="I31" s="69">
        <f t="shared" si="47"/>
        <v>2</v>
      </c>
      <c r="J31" s="69">
        <f t="shared" si="47"/>
        <v>9.9667774086378742</v>
      </c>
      <c r="K31" s="69">
        <f t="shared" si="47"/>
        <v>10</v>
      </c>
      <c r="L31" s="69">
        <f t="shared" si="47"/>
        <v>10</v>
      </c>
      <c r="M31" s="69">
        <f t="shared" si="47"/>
        <v>10</v>
      </c>
      <c r="N31" s="69">
        <f t="shared" si="47"/>
        <v>10</v>
      </c>
      <c r="O31" s="69">
        <f t="shared" si="47"/>
        <v>10</v>
      </c>
      <c r="P31" s="33">
        <f t="shared" si="47"/>
        <v>68.516777408637878</v>
      </c>
      <c r="Q31" s="87"/>
      <c r="R31" s="87"/>
      <c r="S31" s="87"/>
      <c r="T31" s="87"/>
      <c r="U31" s="32">
        <f t="shared" si="47"/>
        <v>20</v>
      </c>
      <c r="V31" s="82">
        <f>LARGE(V$21:V$26,4)</f>
        <v>88.516777408637878</v>
      </c>
      <c r="X31" s="119" t="str">
        <f t="shared" si="50"/>
        <v>OK</v>
      </c>
    </row>
    <row r="32" spans="1:97" ht="15.75" thickBot="1" x14ac:dyDescent="0.3">
      <c r="B32" s="88">
        <v>5</v>
      </c>
      <c r="C32" s="88" t="str">
        <f t="shared" si="49"/>
        <v>ALLIANZ S.p.A.</v>
      </c>
      <c r="D32" s="90">
        <f t="shared" si="47"/>
        <v>42678</v>
      </c>
      <c r="E32" s="98">
        <f t="shared" si="47"/>
        <v>0.43333333333333335</v>
      </c>
      <c r="F32" s="69">
        <f t="shared" si="47"/>
        <v>0</v>
      </c>
      <c r="G32" s="69">
        <f t="shared" si="47"/>
        <v>3</v>
      </c>
      <c r="H32" s="69">
        <f t="shared" si="47"/>
        <v>3.75</v>
      </c>
      <c r="I32" s="69">
        <f t="shared" si="47"/>
        <v>2</v>
      </c>
      <c r="J32" s="69">
        <f t="shared" si="47"/>
        <v>9.9667774086378742</v>
      </c>
      <c r="K32" s="69">
        <f t="shared" si="47"/>
        <v>8</v>
      </c>
      <c r="L32" s="69">
        <f t="shared" si="47"/>
        <v>10</v>
      </c>
      <c r="M32" s="69">
        <f t="shared" si="47"/>
        <v>10</v>
      </c>
      <c r="N32" s="69">
        <f t="shared" si="47"/>
        <v>10</v>
      </c>
      <c r="O32" s="69">
        <f t="shared" si="47"/>
        <v>10</v>
      </c>
      <c r="P32" s="33">
        <f t="shared" si="47"/>
        <v>66.716777408637881</v>
      </c>
      <c r="Q32" s="87"/>
      <c r="R32" s="87"/>
      <c r="S32" s="87"/>
      <c r="T32" s="87"/>
      <c r="U32" s="32">
        <f t="shared" si="47"/>
        <v>20</v>
      </c>
      <c r="V32" s="82">
        <f>LARGE(V$21:V$26,5)</f>
        <v>86.716777408637881</v>
      </c>
      <c r="X32" s="119" t="str">
        <f t="shared" si="50"/>
        <v>OK</v>
      </c>
    </row>
    <row r="33" spans="2:24" ht="15.75" thickBot="1" x14ac:dyDescent="0.3">
      <c r="B33" s="88">
        <v>6</v>
      </c>
      <c r="C33" s="88" t="str">
        <f t="shared" si="49"/>
        <v>XL INSURANCE CO SE</v>
      </c>
      <c r="D33" s="90">
        <f t="shared" si="47"/>
        <v>42681</v>
      </c>
      <c r="E33" s="98">
        <f t="shared" si="47"/>
        <v>0.4548611111111111</v>
      </c>
      <c r="F33" s="69">
        <f t="shared" si="47"/>
        <v>0</v>
      </c>
      <c r="G33" s="69">
        <f t="shared" si="47"/>
        <v>3</v>
      </c>
      <c r="H33" s="69">
        <f t="shared" si="47"/>
        <v>2.6</v>
      </c>
      <c r="I33" s="69">
        <f t="shared" si="47"/>
        <v>2</v>
      </c>
      <c r="J33" s="69">
        <f t="shared" si="47"/>
        <v>8.6378737541528245</v>
      </c>
      <c r="K33" s="69">
        <f t="shared" si="47"/>
        <v>0</v>
      </c>
      <c r="L33" s="69">
        <f t="shared" si="47"/>
        <v>0</v>
      </c>
      <c r="M33" s="69">
        <f t="shared" si="47"/>
        <v>10</v>
      </c>
      <c r="N33" s="69">
        <f t="shared" si="47"/>
        <v>10</v>
      </c>
      <c r="O33" s="69">
        <f t="shared" si="47"/>
        <v>0</v>
      </c>
      <c r="P33" s="33">
        <f t="shared" si="47"/>
        <v>36.237873754152822</v>
      </c>
      <c r="Q33" s="89"/>
      <c r="R33" s="89"/>
      <c r="S33" s="89"/>
      <c r="T33" s="89"/>
      <c r="U33" s="33">
        <f t="shared" si="47"/>
        <v>20</v>
      </c>
      <c r="V33" s="83">
        <f>LARGE(V$21:V$26,6)</f>
        <v>56.237873754152822</v>
      </c>
      <c r="X33" s="120" t="str">
        <f t="shared" si="50"/>
        <v>OK</v>
      </c>
    </row>
    <row r="34" spans="2:24" x14ac:dyDescent="0.25">
      <c r="D34" s="84"/>
      <c r="E34" s="85"/>
    </row>
    <row r="35" spans="2:24" x14ac:dyDescent="0.25">
      <c r="D35" s="84"/>
      <c r="E35" s="85"/>
    </row>
    <row r="36" spans="2:24" x14ac:dyDescent="0.25">
      <c r="D36" s="84"/>
      <c r="E36" s="85"/>
    </row>
    <row r="37" spans="2:24" x14ac:dyDescent="0.25">
      <c r="D37" s="84"/>
      <c r="E37" s="85"/>
    </row>
    <row r="38" spans="2:24" x14ac:dyDescent="0.25">
      <c r="D38" s="84"/>
    </row>
    <row r="39" spans="2:24" x14ac:dyDescent="0.25">
      <c r="D39" s="84"/>
    </row>
  </sheetData>
  <sheetProtection sheet="1" objects="1" scenarios="1"/>
  <mergeCells count="4">
    <mergeCell ref="R7:T7"/>
    <mergeCell ref="CO7:CQ7"/>
    <mergeCell ref="AK20:AN20"/>
    <mergeCell ref="C2:P3"/>
  </mergeCells>
  <pageMargins left="0.7" right="0.7" top="0.75" bottom="0.75" header="0.3" footer="0.3"/>
  <pageSetup paperSize="8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Ronchi</dc:creator>
  <cp:lastModifiedBy>Michele Ronchi</cp:lastModifiedBy>
  <cp:lastPrinted>2016-11-07T15:11:07Z</cp:lastPrinted>
  <dcterms:created xsi:type="dcterms:W3CDTF">2013-11-04T08:31:36Z</dcterms:created>
  <dcterms:modified xsi:type="dcterms:W3CDTF">2016-11-08T08:48:10Z</dcterms:modified>
</cp:coreProperties>
</file>